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omments1.xml" ContentType="application/vnd.openxmlformats-officedocument.spreadsheetml.comments+xml"/>
  <Override PartName="/xl/printerSettings/printerSettings3.bin" ContentType="application/vnd.openxmlformats-officedocument.spreadsheetml.printerSettings"/>
  <Override PartName="/xl/comments2.xml" ContentType="application/vnd.openxmlformats-officedocument.spreadsheetml.comments+xml"/>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lambourn\Downloads\"/>
    </mc:Choice>
  </mc:AlternateContent>
  <workbookProtection workbookPassword="8719" lockStructure="1"/>
  <bookViews>
    <workbookView xWindow="480" yWindow="120" windowWidth="24240" windowHeight="12585" firstSheet="1" activeTab="1"/>
  </bookViews>
  <sheets>
    <sheet name="_com.sap.ip.bi.xl.hiddensheet" sheetId="11" state="veryHidden" r:id="rId1"/>
    <sheet name="Information" sheetId="9" r:id="rId2"/>
    <sheet name="Character Sheet" sheetId="1" r:id="rId3"/>
    <sheet name="XP log" sheetId="8" r:id="rId4"/>
    <sheet name="Copy &amp; Paste" sheetId="10" r:id="rId5"/>
    <sheet name="Appx A Feeding" sheetId="5" r:id="rId6"/>
    <sheet name="Appx B Disciplines" sheetId="3" r:id="rId7"/>
    <sheet name="Appx C Devotions" sheetId="2" r:id="rId8"/>
    <sheet name="Appx D Rituals" sheetId="6" r:id="rId9"/>
    <sheet name="Appx E Coils" sheetId="7" r:id="rId10"/>
    <sheet name="Appx F Oaths" sheetId="12" r:id="rId11"/>
  </sheets>
  <definedNames>
    <definedName name="_xlnm._FilterDatabase" localSheetId="7" hidden="1">'Appx C Devotions'!$A$2:$I$128</definedName>
    <definedName name="_xlnm._FilterDatabase" localSheetId="8" hidden="1">'Appx D Rituals'!$A$1:$WVP$126</definedName>
    <definedName name="academics">'Character Sheet'!$N$27</definedName>
    <definedName name="acaspec">'Character Sheet'!$S$27</definedName>
    <definedName name="age">'Character Sheet'!$C$11</definedName>
    <definedName name="Agename">'Character Sheet'!$AF$10</definedName>
    <definedName name="animalism">'Character Sheet'!$N$60</definedName>
    <definedName name="animalken">'Character Sheet'!$N$47</definedName>
    <definedName name="animspec">'Character Sheet'!$S$47</definedName>
    <definedName name="armour">'Character Sheet'!$D$185</definedName>
    <definedName name="armourgun">'Character Sheet'!$F$185</definedName>
    <definedName name="athletics">'Character Sheet'!$N$37</definedName>
    <definedName name="athspec">'Character Sheet'!$S$37</definedName>
    <definedName name="attpriority">'Character Sheet'!$H$22</definedName>
    <definedName name="attributelist">'Character Sheet'!$AI$14:$AI$22</definedName>
    <definedName name="auspex">'Character Sheet'!$N$61</definedName>
    <definedName name="BloodDis">'Character Sheet'!$N$72</definedName>
    <definedName name="blooddiscipline">'Character Sheet'!$N$72</definedName>
    <definedName name="bloodline">'Character Sheet'!$C$17</definedName>
    <definedName name="BloodlineChart">'Character Sheet'!$AX$3:$BE$38</definedName>
    <definedName name="bloodlinelist">'Character Sheet'!$AX$3:$AX$38</definedName>
    <definedName name="bloodlinespecialization">'Character Sheet'!$AH$31:$AH$33</definedName>
    <definedName name="BP">'Character Sheet'!$D$41</definedName>
    <definedName name="bpchart">'Character Sheet'!$AI$3:$AN$13</definedName>
    <definedName name="brawl">'Character Sheet'!$N$38</definedName>
    <definedName name="brawlspec">'Character Sheet'!$S$38</definedName>
    <definedName name="breath">'Character Sheet'!$N$70</definedName>
    <definedName name="categoryname">'XP log'!$I$12:$I$24</definedName>
    <definedName name="celerity">'Character Sheet'!$N$62</definedName>
    <definedName name="cemail">'Character Sheet'!$R$5</definedName>
    <definedName name="chardomain">'Character Sheet'!$R$6</definedName>
    <definedName name="charname">'Character Sheet'!$C$10</definedName>
    <definedName name="clan1">'Character Sheet'!$C$16</definedName>
    <definedName name="clanlist">'Character Sheet'!$AG$26:$AG$30</definedName>
    <definedName name="clanspecialization">'Character Sheet'!$AG$31:$AG$32</definedName>
    <definedName name="ClanTable">'Character Sheet'!$AG$25:$AK$30</definedName>
    <definedName name="coilcost">'Character Sheet'!$AJ$14:$AJ$15</definedName>
    <definedName name="coils">'Character Sheet'!$J$93</definedName>
    <definedName name="composure">'Character Sheet'!$D$36</definedName>
    <definedName name="compspec">'Character Sheet'!$S$28</definedName>
    <definedName name="computer">'Character Sheet'!$N$28</definedName>
    <definedName name="concept">'Character Sheet'!$C$12</definedName>
    <definedName name="coordinatorname">'Character Sheet'!$R$4</definedName>
    <definedName name="covenant1">'Character Sheet'!$C$18</definedName>
    <definedName name="covenantlist">'Character Sheet'!$AH$14:$AH$21</definedName>
    <definedName name="craft">'Character Sheet'!$N$29</definedName>
    <definedName name="craftspec">'Character Sheet'!$S$29</definedName>
    <definedName name="cruac">'Character Sheet'!$N$73</definedName>
    <definedName name="cruacchart">'Appx D Rituals'!$A$3:$H$53</definedName>
    <definedName name="cruaclist">'Character Sheet'!$AN$15:$AN$65</definedName>
    <definedName name="curvitae">'Character Sheet'!$M$13</definedName>
    <definedName name="defenseadj">'Character Sheet'!$H$184</definedName>
    <definedName name="derangements">'Character Sheet'!$AD$190</definedName>
    <definedName name="DevotionChart">'Appx C Devotions'!$A$3:$I$128</definedName>
    <definedName name="DevotionList">'Appx C Devotions'!$A$3:$A$128</definedName>
    <definedName name="dexterity">'Character Sheet'!$D$30</definedName>
    <definedName name="Dire">'Character Sheet'!$AM$32:$AM$110</definedName>
    <definedName name="DisciplineBasic">'Character Sheet'!$AD$17:$AD$26</definedName>
    <definedName name="Disciplinechart">'Appx B Disciplines'!$A$3:$G$340</definedName>
    <definedName name="dominate">'Character Sheet'!$N$63</definedName>
    <definedName name="dotchart">'Character Sheet'!$AD$39:$AI$90</definedName>
    <definedName name="drispec">'Character Sheet'!$S$39</definedName>
    <definedName name="drive">'Character Sheet'!$N$39</definedName>
    <definedName name="dualcov">'Character Sheet'!$C$19</definedName>
    <definedName name="DualCovStatus">'Character Sheet'!$D$45</definedName>
    <definedName name="emailaddress">'Character Sheet'!$D$5</definedName>
    <definedName name="empathy">'Character Sheet'!$N$48</definedName>
    <definedName name="empspec">'Character Sheet'!$S$48</definedName>
    <definedName name="exprespec">'Character Sheet'!$S$49</definedName>
    <definedName name="expression">'Character Sheet'!$N$49</definedName>
    <definedName name="farmer">'Character Sheet'!$R$17</definedName>
    <definedName name="FATable">'Character Sheet'!$AJ$32:$AL$36</definedName>
    <definedName name="favouredclan">'Character Sheet'!$AJ$32:$AL$36</definedName>
    <definedName name="firearms">'Character Sheet'!$N$40</definedName>
    <definedName name="firespec">'Character Sheet'!$S$40</definedName>
    <definedName name="flaw">'Character Sheet'!$F$195</definedName>
    <definedName name="flawlist">'Character Sheet'!$AM$14:$AM$31</definedName>
    <definedName name="health">'Character Sheet'!$D$186</definedName>
    <definedName name="herd">'Character Sheet'!$AW$75</definedName>
    <definedName name="humanitmulty">'Character Sheet'!$AG$3:$AH$12</definedName>
    <definedName name="humanity">'Character Sheet'!$C$192</definedName>
    <definedName name="humanitylist">'Character Sheet'!$AG$3:$AG$12</definedName>
    <definedName name="initiativeadj">'Character Sheet'!$H$183</definedName>
    <definedName name="intelligence">'Character Sheet'!$D$24</definedName>
    <definedName name="intimidation">'Character Sheet'!$N$50</definedName>
    <definedName name="intimspec">'Character Sheet'!$S$50</definedName>
    <definedName name="intruder">'Character Sheet'!$R$18</definedName>
    <definedName name="investigation">'Character Sheet'!$N$30</definedName>
    <definedName name="invspec">'Character Sheet'!$S$30</definedName>
    <definedName name="larceny">'Character Sheet'!$N$41</definedName>
    <definedName name="larcspec">'Character Sheet'!$S$41</definedName>
    <definedName name="lurker">'Character Sheet'!$R$19</definedName>
    <definedName name="majesty">'Character Sheet'!$N$64</definedName>
    <definedName name="manipulation">'Character Sheet'!$D$35</definedName>
    <definedName name="medicine">'Character Sheet'!$N$31</definedName>
    <definedName name="medspec">'Character Sheet'!$S$31</definedName>
    <definedName name="membernumber">'Character Sheet'!$D$6</definedName>
    <definedName name="MeritList">'Character Sheet'!$AO$3:$AO$176</definedName>
    <definedName name="MeritTable">'Character Sheet'!$AO$3:$AW$176</definedName>
    <definedName name="mult_chart">'Character Sheet'!$AD$28:$AE$38</definedName>
    <definedName name="mult_chart2">'Character Sheet'!$AE$28:$AF$38</definedName>
    <definedName name="nightmare">'Character Sheet'!$N$65</definedName>
    <definedName name="OathChart">'Character Sheet'!$AX$41:$BH$53</definedName>
    <definedName name="OathDir">'Character Sheet'!$AJ$16:$AJ$17</definedName>
    <definedName name="OathList">'Character Sheet'!$AX$42:$AX$53</definedName>
    <definedName name="obfuscate">'Character Sheet'!$N$66</definedName>
    <definedName name="occspec">'Character Sheet'!$S$32</definedName>
    <definedName name="occult">'Character Sheet'!$N$32</definedName>
    <definedName name="OddDiscName">'Character Sheet'!$L$72</definedName>
    <definedName name="Order">'Character Sheet'!$AD$10:$AD$15</definedName>
    <definedName name="persspec">'Character Sheet'!$S$51</definedName>
    <definedName name="persuasion">'Character Sheet'!$N$51</definedName>
    <definedName name="playername">'Character Sheet'!$D$4</definedName>
    <definedName name="politics">'Character Sheet'!$N$33</definedName>
    <definedName name="polspec">'Character Sheet'!$S$33</definedName>
    <definedName name="presence">'Character Sheet'!$D$34</definedName>
    <definedName name="_xlnm.Print_Area" localSheetId="2">'Character Sheet'!$CC$2:$CR$218</definedName>
    <definedName name="priorsec">'Character Sheet'!$K$6</definedName>
    <definedName name="protean">'Character Sheet'!$N$67</definedName>
    <definedName name="resilience">'Character Sheet'!$N$68</definedName>
    <definedName name="resolve">'Character Sheet'!$D$26</definedName>
    <definedName name="RitualMod">'Character Sheet'!$AD$8:$AD$9</definedName>
    <definedName name="science">'Character Sheet'!$N$34</definedName>
    <definedName name="scispec">'Character Sheet'!$S$34</definedName>
    <definedName name="seducer">'Character Sheet'!$R$20</definedName>
    <definedName name="Size">'Character Sheet'!$D$181</definedName>
    <definedName name="skillpriority">'Character Sheet'!$S$25</definedName>
    <definedName name="socialize">'Character Sheet'!$N$52</definedName>
    <definedName name="socspec">'Character Sheet'!$S$52</definedName>
    <definedName name="speedadj">'Character Sheet'!$H$182</definedName>
    <definedName name="spoiling">'Character Sheet'!$N$71</definedName>
    <definedName name="stalker">'Character Sheet'!$R$21</definedName>
    <definedName name="stamina">'Character Sheet'!$D$31</definedName>
    <definedName name="startingvitae">'Character Sheet'!$R$16</definedName>
    <definedName name="stealth">'Character Sheet'!$N$42</definedName>
    <definedName name="stealthspec">'Character Sheet'!$S$42</definedName>
    <definedName name="stemail">'Character Sheet'!$K$5</definedName>
    <definedName name="stname">'Character Sheet'!$K$4</definedName>
    <definedName name="streetspec">'Character Sheet'!$S$53</definedName>
    <definedName name="streetwise">'Character Sheet'!$N$53</definedName>
    <definedName name="strength">'Character Sheet'!$D$29</definedName>
    <definedName name="subterfuge">'Character Sheet'!$N$54</definedName>
    <definedName name="subtspec">'Character Sheet'!$S$54</definedName>
    <definedName name="survival">'Character Sheet'!$N$43</definedName>
    <definedName name="survspec">'Character Sheet'!$S$43</definedName>
    <definedName name="sustainedhuntinglist">'Appx A Feeding'!$AA$48:$AA$52</definedName>
    <definedName name="sustainedtable">'Appx A Feeding'!$AA$48:$AB$52</definedName>
    <definedName name="theban">'Character Sheet'!$N$74</definedName>
    <definedName name="thebanchart">'Appx D Rituals'!$A$56:$H$98</definedName>
    <definedName name="thebanlist">'Character Sheet'!$AN$66:$AN$107</definedName>
    <definedName name="ThebanSorcery">'Character Sheet'!$N$74</definedName>
    <definedName name="title">'Character Sheet'!$C$13</definedName>
    <definedName name="totalcoils">'Character Sheet'!$J$130</definedName>
    <definedName name="totalxpearned">'XP log'!$C$11</definedName>
    <definedName name="totalxpremaining">'XP log'!$E$11</definedName>
    <definedName name="Type">'Character Sheet'!$AD$3:$AD$4</definedName>
    <definedName name="Vicelist">'Character Sheet'!$AF$3:$AF$9</definedName>
    <definedName name="vicename">'Character Sheet'!$C$15</definedName>
    <definedName name="vigor">'Character Sheet'!$N$69</definedName>
    <definedName name="Virtuelist">'Character Sheet'!$AE$3:$AE$9</definedName>
    <definedName name="virtuename">'Character Sheet'!$C$14</definedName>
    <definedName name="weaponry">'Character Sheet'!$N$44</definedName>
    <definedName name="weapspec">'Character Sheet'!$S$44</definedName>
    <definedName name="willpower">'Character Sheet'!$C$189</definedName>
    <definedName name="wits">'Character Sheet'!$D$25</definedName>
    <definedName name="yesno">'Character Sheet'!$AF$13:$AF$14</definedName>
  </definedNames>
  <calcPr calcId="152511"/>
</workbook>
</file>

<file path=xl/calcChain.xml><?xml version="1.0" encoding="utf-8"?>
<calcChain xmlns="http://schemas.openxmlformats.org/spreadsheetml/2006/main">
  <c r="CK31" i="1" l="1"/>
  <c r="CH31" i="1"/>
  <c r="CH180" i="1"/>
  <c r="CE180" i="1"/>
  <c r="CC180" i="1"/>
  <c r="H97" i="6"/>
  <c r="H95" i="6"/>
  <c r="H92" i="6"/>
  <c r="H91" i="6"/>
  <c r="H90" i="6"/>
  <c r="H85" i="6"/>
  <c r="H81" i="6"/>
  <c r="H73" i="6"/>
  <c r="H59" i="6"/>
  <c r="H58" i="6"/>
  <c r="H40" i="6"/>
  <c r="H37" i="6"/>
  <c r="H36" i="6"/>
  <c r="H29" i="6"/>
  <c r="H27" i="6"/>
  <c r="H22" i="6"/>
  <c r="H20" i="6"/>
  <c r="H9" i="6"/>
  <c r="H6" i="6"/>
  <c r="F54" i="2"/>
  <c r="BE52" i="1"/>
  <c r="BH53" i="1"/>
  <c r="BH52" i="1"/>
  <c r="BH51" i="1"/>
  <c r="BH50" i="1"/>
  <c r="BH49" i="1"/>
  <c r="BH48" i="1"/>
  <c r="BH47" i="1"/>
  <c r="BH46" i="1"/>
  <c r="BH45" i="1"/>
  <c r="BH44" i="1"/>
  <c r="BH43" i="1"/>
  <c r="BH42" i="1"/>
  <c r="C14" i="12"/>
  <c r="C11" i="12"/>
  <c r="C13" i="12"/>
  <c r="C12" i="12"/>
  <c r="C10" i="12"/>
  <c r="C9" i="12"/>
  <c r="C8" i="12"/>
  <c r="C7" i="12"/>
  <c r="C6" i="12"/>
  <c r="C5" i="12"/>
  <c r="C4" i="12"/>
  <c r="C3" i="12"/>
  <c r="H68" i="6"/>
  <c r="H63" i="6"/>
  <c r="H69" i="6"/>
  <c r="H84" i="6"/>
  <c r="H76" i="6"/>
  <c r="H31" i="6"/>
  <c r="H25" i="6"/>
  <c r="H49" i="6"/>
  <c r="F60" i="2"/>
  <c r="F106" i="2"/>
  <c r="F110" i="2" l="1"/>
  <c r="F30" i="2"/>
  <c r="F122" i="2"/>
  <c r="F114" i="2"/>
  <c r="F92" i="2"/>
  <c r="F89" i="2"/>
  <c r="F81" i="2"/>
  <c r="F79" i="2"/>
  <c r="F76" i="2"/>
  <c r="F66" i="2"/>
  <c r="F48" i="2"/>
  <c r="F45" i="2"/>
  <c r="F42" i="2"/>
  <c r="F40" i="2"/>
  <c r="F15" i="2"/>
  <c r="F12" i="2"/>
  <c r="F8" i="2"/>
  <c r="F95" i="2"/>
  <c r="F86" i="2"/>
  <c r="F85" i="2"/>
  <c r="F84" i="2"/>
  <c r="F82" i="2"/>
  <c r="F75" i="2"/>
  <c r="F32" i="2"/>
  <c r="F28" i="2"/>
  <c r="F4" i="2" l="1"/>
  <c r="AW133" i="1"/>
  <c r="AW132" i="1"/>
  <c r="AU162" i="1"/>
  <c r="AU134" i="1"/>
  <c r="AU118" i="1"/>
  <c r="AU93" i="1"/>
  <c r="AU92" i="1"/>
  <c r="AU91" i="1"/>
  <c r="AU73" i="1"/>
  <c r="AU72" i="1"/>
  <c r="AU25" i="1"/>
  <c r="AU24" i="1"/>
  <c r="AW20" i="1"/>
  <c r="AU20" i="1"/>
  <c r="AU19" i="1"/>
  <c r="AW160" i="1"/>
  <c r="AW4" i="1"/>
  <c r="AW5" i="1"/>
  <c r="AW6" i="1"/>
  <c r="AW7" i="1"/>
  <c r="AW8" i="1"/>
  <c r="AW9" i="1"/>
  <c r="AW10" i="1"/>
  <c r="AW11" i="1"/>
  <c r="AW12" i="1"/>
  <c r="AW13" i="1"/>
  <c r="AW14" i="1"/>
  <c r="AW15" i="1"/>
  <c r="AW16" i="1"/>
  <c r="AW17" i="1"/>
  <c r="AW18" i="1"/>
  <c r="AW19"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9" i="1"/>
  <c r="AW50" i="1"/>
  <c r="AW51" i="1"/>
  <c r="AW52" i="1"/>
  <c r="AW53" i="1"/>
  <c r="AW54" i="1"/>
  <c r="AW55" i="1"/>
  <c r="AW56" i="1"/>
  <c r="AW57" i="1"/>
  <c r="AW58" i="1"/>
  <c r="AW59" i="1"/>
  <c r="AW60" i="1"/>
  <c r="AW61" i="1"/>
  <c r="AW62" i="1"/>
  <c r="AW63" i="1"/>
  <c r="AW64" i="1"/>
  <c r="AW65" i="1"/>
  <c r="AW66" i="1"/>
  <c r="AW67" i="1"/>
  <c r="AW68" i="1"/>
  <c r="AW69" i="1"/>
  <c r="D181" i="1" s="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U107" i="1" s="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4" i="1"/>
  <c r="AW135" i="1"/>
  <c r="AW136" i="1"/>
  <c r="AW137" i="1"/>
  <c r="AW138" i="1"/>
  <c r="AU150" i="1" s="1"/>
  <c r="AW139" i="1"/>
  <c r="AW140" i="1"/>
  <c r="AW141" i="1"/>
  <c r="AW142" i="1"/>
  <c r="AW143" i="1"/>
  <c r="AW144" i="1"/>
  <c r="AW145" i="1"/>
  <c r="AW146" i="1"/>
  <c r="AW147" i="1"/>
  <c r="AW148" i="1"/>
  <c r="AW149" i="1"/>
  <c r="AW150" i="1"/>
  <c r="AW151" i="1"/>
  <c r="AW152" i="1"/>
  <c r="AW153" i="1"/>
  <c r="AW154" i="1"/>
  <c r="AW155" i="1"/>
  <c r="AW156" i="1"/>
  <c r="AW157" i="1"/>
  <c r="AW158" i="1"/>
  <c r="AW159" i="1"/>
  <c r="AW161" i="1"/>
  <c r="AW162" i="1"/>
  <c r="AW163" i="1"/>
  <c r="AW164" i="1"/>
  <c r="AW165" i="1"/>
  <c r="AW166" i="1"/>
  <c r="AW167" i="1"/>
  <c r="AW168" i="1"/>
  <c r="AW169" i="1"/>
  <c r="AW170" i="1"/>
  <c r="AW171" i="1"/>
  <c r="AW172" i="1"/>
  <c r="AW173" i="1"/>
  <c r="AW174" i="1"/>
  <c r="AW175" i="1"/>
  <c r="AW176" i="1"/>
  <c r="AW3" i="1"/>
  <c r="AU137" i="1" l="1"/>
  <c r="AU140" i="1"/>
  <c r="AC60" i="1"/>
  <c r="AC81" i="1"/>
  <c r="AC86" i="1"/>
  <c r="BE20" i="1"/>
  <c r="BE21" i="1"/>
  <c r="AZ22" i="1"/>
  <c r="BA22" i="1"/>
  <c r="BB22" i="1"/>
  <c r="BE22" i="1"/>
  <c r="BE23" i="1"/>
  <c r="BE24" i="1"/>
  <c r="BE25" i="1"/>
  <c r="BE26" i="1"/>
  <c r="BE27" i="1"/>
  <c r="BE28" i="1"/>
  <c r="BE29" i="1"/>
  <c r="BE30" i="1"/>
  <c r="BE31" i="1"/>
  <c r="BE32" i="1"/>
  <c r="BE33" i="1"/>
  <c r="BE34" i="1"/>
  <c r="BE35" i="1"/>
  <c r="BE36" i="1"/>
  <c r="BE37" i="1"/>
  <c r="BE38" i="1"/>
  <c r="BE9" i="1"/>
  <c r="BE10" i="1"/>
  <c r="BE11" i="1"/>
  <c r="BE12" i="1"/>
  <c r="BE13" i="1"/>
  <c r="BE14" i="1"/>
  <c r="BE15" i="1"/>
  <c r="BE16" i="1"/>
  <c r="BE17" i="1"/>
  <c r="BE18" i="1"/>
  <c r="BE19" i="1"/>
  <c r="BE6" i="1"/>
  <c r="BE7" i="1"/>
  <c r="BE8" i="1"/>
  <c r="BG42" i="1"/>
  <c r="BG43" i="1"/>
  <c r="BG49" i="1"/>
  <c r="L72" i="1" l="1"/>
  <c r="H189" i="1" l="1"/>
  <c r="H192" i="1"/>
  <c r="C192" i="1" l="1"/>
  <c r="A356" i="10" l="1"/>
  <c r="A357" i="10"/>
  <c r="A358" i="10"/>
  <c r="A359" i="10"/>
  <c r="A355" i="10"/>
  <c r="A351" i="10"/>
  <c r="A352" i="10"/>
  <c r="A353" i="10"/>
  <c r="A354" i="10"/>
  <c r="A350" i="10"/>
  <c r="F38" i="1" l="1"/>
  <c r="B45" i="1" l="1"/>
  <c r="AS129" i="1" l="1"/>
  <c r="AS105" i="1"/>
  <c r="AS75" i="1"/>
  <c r="AS100" i="1"/>
  <c r="AS98" i="1"/>
  <c r="AS97" i="1"/>
  <c r="AS96" i="1"/>
  <c r="AS95" i="1"/>
  <c r="AS94" i="1"/>
  <c r="AR100" i="1"/>
  <c r="AR95" i="1"/>
  <c r="AR94" i="1"/>
  <c r="AR96" i="1"/>
  <c r="AR98" i="1"/>
  <c r="AR97" i="1"/>
  <c r="AR75" i="1"/>
  <c r="AR29" i="1"/>
  <c r="AS130" i="1" l="1"/>
  <c r="W55" i="1"/>
  <c r="Y75" i="1" s="1"/>
  <c r="F17" i="1" l="1"/>
  <c r="A333" i="10"/>
  <c r="A345" i="10"/>
  <c r="A344" i="10"/>
  <c r="A343" i="10"/>
  <c r="A342" i="10"/>
  <c r="A341" i="10"/>
  <c r="A340" i="10"/>
  <c r="A339" i="10"/>
  <c r="A338" i="10"/>
  <c r="A337" i="10"/>
  <c r="A336" i="10"/>
  <c r="A335" i="10"/>
  <c r="A334" i="10"/>
  <c r="A332" i="10"/>
  <c r="A331" i="10"/>
  <c r="A330" i="10"/>
  <c r="A329" i="10"/>
  <c r="A328" i="10"/>
  <c r="A327" i="10"/>
  <c r="A326" i="10"/>
  <c r="A315" i="10"/>
  <c r="A321" i="10"/>
  <c r="A320" i="10"/>
  <c r="A319" i="10"/>
  <c r="A318" i="10"/>
  <c r="A317" i="10"/>
  <c r="A316" i="10"/>
  <c r="A314" i="10"/>
  <c r="A313" i="10"/>
  <c r="A312" i="10"/>
  <c r="A305" i="10"/>
  <c r="A308" i="10"/>
  <c r="A307" i="10"/>
  <c r="A306" i="10"/>
  <c r="A304" i="10"/>
  <c r="A303" i="10"/>
  <c r="A301" i="10"/>
  <c r="A302" i="10"/>
  <c r="A300" i="10"/>
  <c r="A299" i="10"/>
  <c r="A298" i="10"/>
  <c r="A297" i="10"/>
  <c r="A289" i="10"/>
  <c r="A292" i="10"/>
  <c r="A291" i="10"/>
  <c r="A290" i="10"/>
  <c r="A288" i="10"/>
  <c r="A253"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2" i="10"/>
  <c r="A251" i="10"/>
  <c r="A250" i="10"/>
  <c r="A249" i="10"/>
  <c r="A248" i="10"/>
  <c r="A247" i="10"/>
  <c r="CM218" i="1"/>
  <c r="CM217" i="1"/>
  <c r="CM216" i="1"/>
  <c r="CM215" i="1"/>
  <c r="CM214" i="1"/>
  <c r="CM212" i="1"/>
  <c r="CM213" i="1"/>
  <c r="CM211" i="1"/>
  <c r="CM210" i="1"/>
  <c r="CM209" i="1"/>
  <c r="CM206" i="1"/>
  <c r="CM205" i="1"/>
  <c r="CM204" i="1"/>
  <c r="CM203" i="1"/>
  <c r="CM202" i="1"/>
  <c r="CM201" i="1"/>
  <c r="CM200" i="1"/>
  <c r="CM199" i="1"/>
  <c r="CM198" i="1"/>
  <c r="CM197" i="1"/>
  <c r="CM196" i="1"/>
  <c r="CM195" i="1"/>
  <c r="CM194" i="1"/>
  <c r="CM193" i="1"/>
  <c r="CM192" i="1"/>
  <c r="CM191" i="1"/>
  <c r="CM190" i="1"/>
  <c r="CM189" i="1"/>
  <c r="CM188" i="1"/>
  <c r="CM187" i="1"/>
  <c r="CK192" i="1"/>
  <c r="CI192" i="1"/>
  <c r="CC192" i="1"/>
  <c r="CK194" i="1"/>
  <c r="CI194" i="1"/>
  <c r="CC194" i="1"/>
  <c r="CK193" i="1"/>
  <c r="CI193" i="1"/>
  <c r="CC193" i="1"/>
  <c r="CK191" i="1"/>
  <c r="CI191" i="1"/>
  <c r="CC191" i="1"/>
  <c r="CK190" i="1"/>
  <c r="CI190" i="1"/>
  <c r="CC190" i="1"/>
  <c r="AD190" i="1"/>
  <c r="CP164" i="1"/>
  <c r="CO164" i="1"/>
  <c r="CN164" i="1"/>
  <c r="CJ164" i="1"/>
  <c r="CP163" i="1"/>
  <c r="CO163" i="1"/>
  <c r="CN163" i="1"/>
  <c r="CJ163" i="1"/>
  <c r="CP162" i="1"/>
  <c r="CO162" i="1"/>
  <c r="CN162" i="1"/>
  <c r="CJ162" i="1"/>
  <c r="CP161" i="1"/>
  <c r="CO161" i="1"/>
  <c r="CN161" i="1"/>
  <c r="CJ161" i="1"/>
  <c r="CP160" i="1"/>
  <c r="CO160" i="1"/>
  <c r="CN160" i="1"/>
  <c r="CJ160" i="1"/>
  <c r="H176" i="1"/>
  <c r="G176" i="1"/>
  <c r="H175" i="1"/>
  <c r="G175" i="1"/>
  <c r="H174" i="1"/>
  <c r="G174" i="1"/>
  <c r="H173" i="1"/>
  <c r="G173" i="1"/>
  <c r="H172" i="1"/>
  <c r="G172" i="1"/>
  <c r="CC215" i="1"/>
  <c r="CK215" i="1" s="1"/>
  <c r="CC218" i="1"/>
  <c r="CK218" i="1" s="1"/>
  <c r="CC217" i="1"/>
  <c r="CF217" i="1" s="1"/>
  <c r="CC216" i="1"/>
  <c r="CK216" i="1" s="1"/>
  <c r="CC214" i="1"/>
  <c r="CK214" i="1" s="1"/>
  <c r="CC213" i="1"/>
  <c r="CK213" i="1" s="1"/>
  <c r="CC212" i="1"/>
  <c r="CK212" i="1" s="1"/>
  <c r="CC211" i="1"/>
  <c r="CK211" i="1" s="1"/>
  <c r="CC210" i="1"/>
  <c r="CK210" i="1" s="1"/>
  <c r="CC209" i="1"/>
  <c r="CK209" i="1" s="1"/>
  <c r="CC208" i="1"/>
  <c r="CK208" i="1" s="1"/>
  <c r="CC207" i="1"/>
  <c r="CH207" i="1" s="1"/>
  <c r="CK205" i="1"/>
  <c r="CG205" i="1"/>
  <c r="CC205" i="1"/>
  <c r="CK204" i="1"/>
  <c r="CG204" i="1"/>
  <c r="CC204" i="1"/>
  <c r="CK203" i="1"/>
  <c r="CG203" i="1"/>
  <c r="CC203" i="1"/>
  <c r="CK202" i="1"/>
  <c r="CG202" i="1"/>
  <c r="CC202" i="1"/>
  <c r="CK201" i="1"/>
  <c r="CG201" i="1"/>
  <c r="CC201" i="1"/>
  <c r="CK200" i="1"/>
  <c r="CG200" i="1"/>
  <c r="CC200" i="1"/>
  <c r="CK199" i="1"/>
  <c r="CG199" i="1"/>
  <c r="CC199" i="1"/>
  <c r="CK198" i="1"/>
  <c r="CG198" i="1"/>
  <c r="CC198" i="1"/>
  <c r="CK197" i="1"/>
  <c r="CG197" i="1"/>
  <c r="CC197" i="1"/>
  <c r="CK196" i="1"/>
  <c r="CG196" i="1"/>
  <c r="CC196" i="1"/>
  <c r="CQ185" i="1"/>
  <c r="CM185" i="1"/>
  <c r="CM184" i="1"/>
  <c r="CQ183" i="1"/>
  <c r="CM183" i="1"/>
  <c r="CQ182" i="1"/>
  <c r="CM182" i="1"/>
  <c r="CQ181" i="1"/>
  <c r="CM181" i="1"/>
  <c r="CQ180" i="1"/>
  <c r="CM180" i="1"/>
  <c r="CQ179" i="1"/>
  <c r="CM179" i="1"/>
  <c r="CQ178" i="1"/>
  <c r="CM178" i="1"/>
  <c r="CQ177" i="1"/>
  <c r="CM177" i="1"/>
  <c r="CQ176" i="1"/>
  <c r="CM176" i="1"/>
  <c r="CQ175" i="1"/>
  <c r="CM175" i="1"/>
  <c r="CQ174" i="1"/>
  <c r="CM174" i="1"/>
  <c r="CQ173" i="1"/>
  <c r="CM173" i="1"/>
  <c r="CM170" i="1"/>
  <c r="CH170" i="1"/>
  <c r="CC170" i="1"/>
  <c r="CM169" i="1"/>
  <c r="CH169" i="1"/>
  <c r="CC169" i="1"/>
  <c r="CM168" i="1"/>
  <c r="CH168" i="1"/>
  <c r="CC168" i="1"/>
  <c r="CP141" i="1"/>
  <c r="CO141" i="1"/>
  <c r="CN141" i="1"/>
  <c r="CJ141" i="1"/>
  <c r="CP159" i="1"/>
  <c r="CO159" i="1"/>
  <c r="CN159" i="1"/>
  <c r="CJ159" i="1"/>
  <c r="CP158" i="1"/>
  <c r="CO158" i="1"/>
  <c r="CN158" i="1"/>
  <c r="CJ158" i="1"/>
  <c r="CP157" i="1"/>
  <c r="CO157" i="1"/>
  <c r="CN157" i="1"/>
  <c r="CJ157" i="1"/>
  <c r="CP156" i="1"/>
  <c r="CO156" i="1"/>
  <c r="CN156" i="1"/>
  <c r="CJ156" i="1"/>
  <c r="CP155" i="1"/>
  <c r="CO155" i="1"/>
  <c r="CN155" i="1"/>
  <c r="CJ155" i="1"/>
  <c r="CP154" i="1"/>
  <c r="CO154" i="1"/>
  <c r="CN154" i="1"/>
  <c r="CJ154" i="1"/>
  <c r="CP153" i="1"/>
  <c r="CO153" i="1"/>
  <c r="CN153" i="1"/>
  <c r="CJ153" i="1"/>
  <c r="CP152" i="1"/>
  <c r="CO152" i="1"/>
  <c r="CN152" i="1"/>
  <c r="CJ152" i="1"/>
  <c r="CP151" i="1"/>
  <c r="CO151" i="1"/>
  <c r="CN151" i="1"/>
  <c r="CJ151" i="1"/>
  <c r="CP150" i="1"/>
  <c r="CO150" i="1"/>
  <c r="CN150" i="1"/>
  <c r="CJ150" i="1"/>
  <c r="CP149" i="1"/>
  <c r="CO149" i="1"/>
  <c r="CN149" i="1"/>
  <c r="CJ149" i="1"/>
  <c r="CP148" i="1"/>
  <c r="CO148" i="1"/>
  <c r="CN148" i="1"/>
  <c r="CJ148" i="1"/>
  <c r="CP147" i="1"/>
  <c r="CO147" i="1"/>
  <c r="CN147" i="1"/>
  <c r="CJ147" i="1"/>
  <c r="CP146" i="1"/>
  <c r="CO146" i="1"/>
  <c r="CN146" i="1"/>
  <c r="CJ146" i="1"/>
  <c r="CP145" i="1"/>
  <c r="CO145" i="1"/>
  <c r="CN145" i="1"/>
  <c r="CJ145" i="1"/>
  <c r="CP144" i="1"/>
  <c r="CO144" i="1"/>
  <c r="CN144" i="1"/>
  <c r="CJ144" i="1"/>
  <c r="CP143" i="1"/>
  <c r="CO143" i="1"/>
  <c r="CN143" i="1"/>
  <c r="CJ143" i="1"/>
  <c r="CP142" i="1"/>
  <c r="CO142" i="1"/>
  <c r="CN142" i="1"/>
  <c r="CJ142" i="1"/>
  <c r="CP140" i="1"/>
  <c r="CO140" i="1"/>
  <c r="CN140" i="1"/>
  <c r="CJ140" i="1"/>
  <c r="CP139" i="1"/>
  <c r="CO139" i="1"/>
  <c r="CN139" i="1"/>
  <c r="CJ139" i="1"/>
  <c r="CP138" i="1"/>
  <c r="CO138" i="1"/>
  <c r="CN138" i="1"/>
  <c r="CJ138" i="1"/>
  <c r="CP137" i="1"/>
  <c r="CO137" i="1"/>
  <c r="CN137" i="1"/>
  <c r="CJ137" i="1"/>
  <c r="CP136" i="1"/>
  <c r="CO136" i="1"/>
  <c r="CN136" i="1"/>
  <c r="CJ136" i="1"/>
  <c r="CP135" i="1"/>
  <c r="CO135" i="1"/>
  <c r="CN135" i="1"/>
  <c r="CJ135" i="1"/>
  <c r="CP134" i="1"/>
  <c r="CO134" i="1"/>
  <c r="CN134" i="1"/>
  <c r="CJ134" i="1"/>
  <c r="CP133" i="1"/>
  <c r="CO133" i="1"/>
  <c r="CN133" i="1"/>
  <c r="CJ133" i="1"/>
  <c r="CP132" i="1"/>
  <c r="CO132" i="1"/>
  <c r="CN132" i="1"/>
  <c r="CJ132" i="1"/>
  <c r="CP131" i="1"/>
  <c r="CO131" i="1"/>
  <c r="CN131" i="1"/>
  <c r="CJ131" i="1"/>
  <c r="CP130" i="1"/>
  <c r="CO130" i="1"/>
  <c r="CN130" i="1"/>
  <c r="CJ130" i="1"/>
  <c r="CP129" i="1"/>
  <c r="CO129" i="1"/>
  <c r="CN129" i="1"/>
  <c r="CJ129" i="1"/>
  <c r="CP128" i="1"/>
  <c r="CO128" i="1"/>
  <c r="CN128" i="1"/>
  <c r="CJ128" i="1"/>
  <c r="CP127" i="1"/>
  <c r="CO127" i="1"/>
  <c r="CN127" i="1"/>
  <c r="CJ127" i="1"/>
  <c r="CP126" i="1"/>
  <c r="CO126" i="1"/>
  <c r="CN126" i="1"/>
  <c r="CJ126" i="1"/>
  <c r="CP125" i="1"/>
  <c r="CO125" i="1"/>
  <c r="CN125" i="1"/>
  <c r="CJ125" i="1"/>
  <c r="CP124" i="1"/>
  <c r="CO124" i="1"/>
  <c r="CN124" i="1"/>
  <c r="CJ124" i="1"/>
  <c r="CP123" i="1"/>
  <c r="CO123" i="1"/>
  <c r="CN123" i="1"/>
  <c r="CJ123" i="1"/>
  <c r="CP122" i="1"/>
  <c r="CO122" i="1"/>
  <c r="CN122" i="1"/>
  <c r="CJ122" i="1"/>
  <c r="CP121" i="1"/>
  <c r="CO121" i="1"/>
  <c r="CN121" i="1"/>
  <c r="CJ121" i="1"/>
  <c r="CP120" i="1"/>
  <c r="CO120" i="1"/>
  <c r="CN120" i="1"/>
  <c r="CJ120" i="1"/>
  <c r="CP119" i="1"/>
  <c r="CO119" i="1"/>
  <c r="CN119" i="1"/>
  <c r="CJ119" i="1"/>
  <c r="CC164" i="1"/>
  <c r="A215" i="10" s="1"/>
  <c r="CC163" i="1"/>
  <c r="A214" i="10" s="1"/>
  <c r="CC162" i="1"/>
  <c r="A213" i="10" s="1"/>
  <c r="CC161" i="1"/>
  <c r="A212" i="10" s="1"/>
  <c r="CC160" i="1"/>
  <c r="A211" i="10" s="1"/>
  <c r="CC159" i="1"/>
  <c r="A210" i="10" s="1"/>
  <c r="CC158" i="1"/>
  <c r="A209" i="10" s="1"/>
  <c r="CC157" i="1"/>
  <c r="A208" i="10" s="1"/>
  <c r="CC156" i="1"/>
  <c r="A207" i="10" s="1"/>
  <c r="CC155" i="1"/>
  <c r="A206" i="10" s="1"/>
  <c r="CC154" i="1"/>
  <c r="A205" i="10" s="1"/>
  <c r="CC153" i="1"/>
  <c r="A204" i="10" s="1"/>
  <c r="CC152" i="1"/>
  <c r="A203" i="10" s="1"/>
  <c r="CC151" i="1"/>
  <c r="A202" i="10" s="1"/>
  <c r="CC150" i="1"/>
  <c r="A201" i="10" s="1"/>
  <c r="CC149" i="1"/>
  <c r="A200" i="10" s="1"/>
  <c r="CC148" i="1"/>
  <c r="A199" i="10" s="1"/>
  <c r="CC147" i="1"/>
  <c r="A198" i="10" s="1"/>
  <c r="CC146" i="1"/>
  <c r="A197" i="10" s="1"/>
  <c r="CC145" i="1"/>
  <c r="A196" i="10" s="1"/>
  <c r="CC144" i="1"/>
  <c r="A195" i="10" s="1"/>
  <c r="CC143" i="1"/>
  <c r="A194" i="10" s="1"/>
  <c r="CC142" i="1"/>
  <c r="A193" i="10" s="1"/>
  <c r="CC141" i="1"/>
  <c r="A192" i="10" s="1"/>
  <c r="CC140" i="1"/>
  <c r="A191" i="10" s="1"/>
  <c r="CC139" i="1"/>
  <c r="A190" i="10" s="1"/>
  <c r="CC138" i="1"/>
  <c r="A189" i="10" s="1"/>
  <c r="CC137" i="1"/>
  <c r="A188" i="10" s="1"/>
  <c r="CC136" i="1"/>
  <c r="A187" i="10" s="1"/>
  <c r="CC135" i="1"/>
  <c r="A186" i="10" s="1"/>
  <c r="CC134" i="1"/>
  <c r="A185" i="10" s="1"/>
  <c r="CC133" i="1"/>
  <c r="A184" i="10" s="1"/>
  <c r="CC132" i="1"/>
  <c r="A183" i="10" s="1"/>
  <c r="CC131" i="1"/>
  <c r="A182" i="10" s="1"/>
  <c r="CC130" i="1"/>
  <c r="A181" i="10" s="1"/>
  <c r="CC129" i="1"/>
  <c r="A180" i="10" s="1"/>
  <c r="CC128" i="1"/>
  <c r="A179" i="10" s="1"/>
  <c r="CC127" i="1"/>
  <c r="A178" i="10" s="1"/>
  <c r="CC126" i="1"/>
  <c r="A177" i="10" s="1"/>
  <c r="CC125" i="1"/>
  <c r="A176" i="10" s="1"/>
  <c r="CC124" i="1"/>
  <c r="A175" i="10" s="1"/>
  <c r="CC123" i="1"/>
  <c r="A174" i="10" s="1"/>
  <c r="CC122" i="1"/>
  <c r="A173" i="10" s="1"/>
  <c r="CC121" i="1"/>
  <c r="A172" i="10" s="1"/>
  <c r="CC120" i="1"/>
  <c r="A171" i="10" s="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23" i="1"/>
  <c r="CM115" i="1"/>
  <c r="CH115" i="1"/>
  <c r="CC115" i="1"/>
  <c r="CM114" i="1"/>
  <c r="CH114" i="1"/>
  <c r="CC114" i="1"/>
  <c r="CM113" i="1"/>
  <c r="CH113" i="1"/>
  <c r="CC113" i="1"/>
  <c r="CJ207" i="1" l="1"/>
  <c r="CF212" i="1"/>
  <c r="CF211" i="1"/>
  <c r="CF213" i="1"/>
  <c r="CJ211" i="1"/>
  <c r="CF209" i="1"/>
  <c r="CH211" i="1"/>
  <c r="CH212" i="1"/>
  <c r="CF214" i="1"/>
  <c r="CH216" i="1"/>
  <c r="CF218" i="1"/>
  <c r="CJ216" i="1"/>
  <c r="CF208" i="1"/>
  <c r="CH208" i="1"/>
  <c r="CF216" i="1"/>
  <c r="CH217" i="1"/>
  <c r="CF215" i="1"/>
  <c r="CH215" i="1"/>
  <c r="CJ215" i="1"/>
  <c r="CH214" i="1"/>
  <c r="CJ217" i="1"/>
  <c r="CH218" i="1"/>
  <c r="CJ214" i="1"/>
  <c r="CK217" i="1"/>
  <c r="CJ218" i="1"/>
  <c r="CJ208" i="1"/>
  <c r="CH209" i="1"/>
  <c r="CF210" i="1"/>
  <c r="CJ212" i="1"/>
  <c r="CH213" i="1"/>
  <c r="CJ209" i="1"/>
  <c r="CH210" i="1"/>
  <c r="CJ213" i="1"/>
  <c r="CJ210" i="1"/>
  <c r="CK207" i="1"/>
  <c r="CF207" i="1"/>
  <c r="AZ63" i="1"/>
  <c r="AZ69" i="1"/>
  <c r="AZ68" i="1"/>
  <c r="AZ67" i="1"/>
  <c r="AZ66" i="1"/>
  <c r="AZ65" i="1"/>
  <c r="AZ64" i="1"/>
  <c r="AZ62" i="1"/>
  <c r="AZ61" i="1"/>
  <c r="AZ60" i="1"/>
  <c r="AY71" i="1"/>
  <c r="BA71" i="1" s="1"/>
  <c r="I125" i="1"/>
  <c r="I124" i="1"/>
  <c r="I123" i="1"/>
  <c r="CM60" i="1"/>
  <c r="CH60" i="1"/>
  <c r="CC60" i="1"/>
  <c r="CM59" i="1"/>
  <c r="CH59" i="1"/>
  <c r="CC59" i="1"/>
  <c r="CM58" i="1"/>
  <c r="CH58" i="1"/>
  <c r="CC58" i="1"/>
  <c r="CM43" i="1"/>
  <c r="CM42" i="1"/>
  <c r="CM41" i="1"/>
  <c r="CM40" i="1"/>
  <c r="CM39" i="1"/>
  <c r="CM38" i="1"/>
  <c r="CM37" i="1"/>
  <c r="CM36" i="1"/>
  <c r="CM34" i="1"/>
  <c r="CM33" i="1"/>
  <c r="CM32" i="1"/>
  <c r="CM31" i="1"/>
  <c r="CM30" i="1"/>
  <c r="CM29" i="1"/>
  <c r="CM28" i="1"/>
  <c r="CM27" i="1"/>
  <c r="CM25" i="1"/>
  <c r="CM24" i="1"/>
  <c r="CM23" i="1"/>
  <c r="CM22" i="1"/>
  <c r="CM21" i="1"/>
  <c r="CM20" i="1"/>
  <c r="CM19" i="1"/>
  <c r="CM18" i="1"/>
  <c r="CH48" i="1"/>
  <c r="CH38" i="1"/>
  <c r="CH45" i="1"/>
  <c r="CH44" i="1"/>
  <c r="CH43" i="1"/>
  <c r="CH42" i="1"/>
  <c r="CH41" i="1"/>
  <c r="CH40" i="1"/>
  <c r="CH39" i="1"/>
  <c r="CH37" i="1"/>
  <c r="CH36" i="1"/>
  <c r="CC20" i="1"/>
  <c r="CJ9" i="1"/>
  <c r="CP8" i="1"/>
  <c r="CQ7" i="1"/>
  <c r="CC9" i="1"/>
  <c r="CC8" i="1"/>
  <c r="CC7" i="1"/>
  <c r="CC6" i="1"/>
  <c r="CK7" i="1"/>
  <c r="CK6" i="1"/>
  <c r="CM4" i="1"/>
  <c r="CH4" i="1"/>
  <c r="CH3" i="1"/>
  <c r="CH2" i="1"/>
  <c r="CM3" i="1"/>
  <c r="CM2" i="1"/>
  <c r="CC4" i="1"/>
  <c r="CC3" i="1"/>
  <c r="CC2" i="1"/>
  <c r="CH34" i="1"/>
  <c r="CH33" i="1"/>
  <c r="CH32" i="1"/>
  <c r="CH27" i="1"/>
  <c r="CH26" i="1"/>
  <c r="CH25" i="1"/>
  <c r="CH24" i="1"/>
  <c r="CH23" i="1"/>
  <c r="CH22" i="1"/>
  <c r="CH21" i="1"/>
  <c r="CH20" i="1"/>
  <c r="CH19" i="1"/>
  <c r="CH18" i="1"/>
  <c r="CK8" i="1"/>
  <c r="AC84" i="1" l="1"/>
  <c r="A113" i="10"/>
  <c r="X83" i="1"/>
  <c r="X82" i="1"/>
  <c r="X81" i="1"/>
  <c r="X80" i="1"/>
  <c r="T83" i="1"/>
  <c r="T82" i="1"/>
  <c r="T81" i="1"/>
  <c r="AC83" i="1"/>
  <c r="AC82" i="1"/>
  <c r="A31" i="10"/>
  <c r="A19" i="10"/>
  <c r="A10" i="10"/>
  <c r="A9" i="10"/>
  <c r="A8" i="10"/>
  <c r="A7" i="10"/>
  <c r="A5" i="10"/>
  <c r="A4" i="10"/>
  <c r="A3" i="10"/>
  <c r="A32" i="10"/>
  <c r="A29" i="10"/>
  <c r="A25" i="10"/>
  <c r="A18" i="10"/>
  <c r="A17" i="10"/>
  <c r="A16" i="10"/>
  <c r="A13" i="10"/>
  <c r="A12" i="10"/>
  <c r="V38" i="8"/>
  <c r="U38" i="8"/>
  <c r="T38" i="8"/>
  <c r="S38" i="8"/>
  <c r="R38" i="8"/>
  <c r="Q38" i="8"/>
  <c r="P38" i="8"/>
  <c r="O38" i="8"/>
  <c r="N38" i="8"/>
  <c r="M38" i="8"/>
  <c r="L38" i="8"/>
  <c r="K38" i="8"/>
  <c r="J38" i="8"/>
  <c r="V503" i="8"/>
  <c r="U503" i="8"/>
  <c r="T503" i="8"/>
  <c r="S503" i="8"/>
  <c r="R503" i="8"/>
  <c r="Q503" i="8"/>
  <c r="P503" i="8"/>
  <c r="O503" i="8"/>
  <c r="N503" i="8"/>
  <c r="M503" i="8"/>
  <c r="L503" i="8"/>
  <c r="K503" i="8"/>
  <c r="J503" i="8"/>
  <c r="V502" i="8"/>
  <c r="U502" i="8"/>
  <c r="T502" i="8"/>
  <c r="S502" i="8"/>
  <c r="R502" i="8"/>
  <c r="Q502" i="8"/>
  <c r="P502" i="8"/>
  <c r="O502" i="8"/>
  <c r="N502" i="8"/>
  <c r="M502" i="8"/>
  <c r="L502" i="8"/>
  <c r="K502" i="8"/>
  <c r="J502" i="8"/>
  <c r="V501" i="8"/>
  <c r="U501" i="8"/>
  <c r="T501" i="8"/>
  <c r="S501" i="8"/>
  <c r="R501" i="8"/>
  <c r="Q501" i="8"/>
  <c r="P501" i="8"/>
  <c r="O501" i="8"/>
  <c r="N501" i="8"/>
  <c r="M501" i="8"/>
  <c r="L501" i="8"/>
  <c r="K501" i="8"/>
  <c r="J501" i="8"/>
  <c r="V500" i="8"/>
  <c r="U500" i="8"/>
  <c r="T500" i="8"/>
  <c r="S500" i="8"/>
  <c r="R500" i="8"/>
  <c r="Q500" i="8"/>
  <c r="P500" i="8"/>
  <c r="O500" i="8"/>
  <c r="N500" i="8"/>
  <c r="M500" i="8"/>
  <c r="L500" i="8"/>
  <c r="K500" i="8"/>
  <c r="J500" i="8"/>
  <c r="V499" i="8"/>
  <c r="U499" i="8"/>
  <c r="T499" i="8"/>
  <c r="S499" i="8"/>
  <c r="R499" i="8"/>
  <c r="Q499" i="8"/>
  <c r="P499" i="8"/>
  <c r="O499" i="8"/>
  <c r="N499" i="8"/>
  <c r="M499" i="8"/>
  <c r="L499" i="8"/>
  <c r="K499" i="8"/>
  <c r="J499" i="8"/>
  <c r="V498" i="8"/>
  <c r="U498" i="8"/>
  <c r="T498" i="8"/>
  <c r="S498" i="8"/>
  <c r="R498" i="8"/>
  <c r="Q498" i="8"/>
  <c r="P498" i="8"/>
  <c r="O498" i="8"/>
  <c r="N498" i="8"/>
  <c r="M498" i="8"/>
  <c r="L498" i="8"/>
  <c r="K498" i="8"/>
  <c r="J498" i="8"/>
  <c r="V497" i="8"/>
  <c r="U497" i="8"/>
  <c r="T497" i="8"/>
  <c r="S497" i="8"/>
  <c r="R497" i="8"/>
  <c r="Q497" i="8"/>
  <c r="P497" i="8"/>
  <c r="O497" i="8"/>
  <c r="N497" i="8"/>
  <c r="M497" i="8"/>
  <c r="L497" i="8"/>
  <c r="K497" i="8"/>
  <c r="J497" i="8"/>
  <c r="V496" i="8"/>
  <c r="U496" i="8"/>
  <c r="T496" i="8"/>
  <c r="S496" i="8"/>
  <c r="R496" i="8"/>
  <c r="Q496" i="8"/>
  <c r="P496" i="8"/>
  <c r="O496" i="8"/>
  <c r="N496" i="8"/>
  <c r="M496" i="8"/>
  <c r="L496" i="8"/>
  <c r="K496" i="8"/>
  <c r="J496" i="8"/>
  <c r="V495" i="8"/>
  <c r="U495" i="8"/>
  <c r="T495" i="8"/>
  <c r="S495" i="8"/>
  <c r="R495" i="8"/>
  <c r="Q495" i="8"/>
  <c r="P495" i="8"/>
  <c r="O495" i="8"/>
  <c r="N495" i="8"/>
  <c r="M495" i="8"/>
  <c r="L495" i="8"/>
  <c r="K495" i="8"/>
  <c r="J495" i="8"/>
  <c r="V494" i="8"/>
  <c r="U494" i="8"/>
  <c r="T494" i="8"/>
  <c r="S494" i="8"/>
  <c r="R494" i="8"/>
  <c r="Q494" i="8"/>
  <c r="P494" i="8"/>
  <c r="O494" i="8"/>
  <c r="N494" i="8"/>
  <c r="M494" i="8"/>
  <c r="L494" i="8"/>
  <c r="K494" i="8"/>
  <c r="J494" i="8"/>
  <c r="V493" i="8"/>
  <c r="U493" i="8"/>
  <c r="T493" i="8"/>
  <c r="S493" i="8"/>
  <c r="R493" i="8"/>
  <c r="Q493" i="8"/>
  <c r="P493" i="8"/>
  <c r="O493" i="8"/>
  <c r="N493" i="8"/>
  <c r="M493" i="8"/>
  <c r="L493" i="8"/>
  <c r="K493" i="8"/>
  <c r="J493" i="8"/>
  <c r="V492" i="8"/>
  <c r="U492" i="8"/>
  <c r="T492" i="8"/>
  <c r="S492" i="8"/>
  <c r="R492" i="8"/>
  <c r="Q492" i="8"/>
  <c r="P492" i="8"/>
  <c r="O492" i="8"/>
  <c r="N492" i="8"/>
  <c r="M492" i="8"/>
  <c r="L492" i="8"/>
  <c r="K492" i="8"/>
  <c r="J492" i="8"/>
  <c r="V491" i="8"/>
  <c r="U491" i="8"/>
  <c r="T491" i="8"/>
  <c r="S491" i="8"/>
  <c r="R491" i="8"/>
  <c r="Q491" i="8"/>
  <c r="P491" i="8"/>
  <c r="O491" i="8"/>
  <c r="N491" i="8"/>
  <c r="M491" i="8"/>
  <c r="L491" i="8"/>
  <c r="K491" i="8"/>
  <c r="J491" i="8"/>
  <c r="V490" i="8"/>
  <c r="U490" i="8"/>
  <c r="T490" i="8"/>
  <c r="S490" i="8"/>
  <c r="R490" i="8"/>
  <c r="Q490" i="8"/>
  <c r="P490" i="8"/>
  <c r="O490" i="8"/>
  <c r="N490" i="8"/>
  <c r="M490" i="8"/>
  <c r="L490" i="8"/>
  <c r="K490" i="8"/>
  <c r="J490" i="8"/>
  <c r="V489" i="8"/>
  <c r="U489" i="8"/>
  <c r="T489" i="8"/>
  <c r="S489" i="8"/>
  <c r="R489" i="8"/>
  <c r="Q489" i="8"/>
  <c r="P489" i="8"/>
  <c r="O489" i="8"/>
  <c r="N489" i="8"/>
  <c r="M489" i="8"/>
  <c r="L489" i="8"/>
  <c r="K489" i="8"/>
  <c r="J489" i="8"/>
  <c r="V488" i="8"/>
  <c r="U488" i="8"/>
  <c r="T488" i="8"/>
  <c r="S488" i="8"/>
  <c r="R488" i="8"/>
  <c r="Q488" i="8"/>
  <c r="P488" i="8"/>
  <c r="O488" i="8"/>
  <c r="N488" i="8"/>
  <c r="M488" i="8"/>
  <c r="L488" i="8"/>
  <c r="K488" i="8"/>
  <c r="J488" i="8"/>
  <c r="V487" i="8"/>
  <c r="U487" i="8"/>
  <c r="T487" i="8"/>
  <c r="S487" i="8"/>
  <c r="R487" i="8"/>
  <c r="Q487" i="8"/>
  <c r="P487" i="8"/>
  <c r="O487" i="8"/>
  <c r="N487" i="8"/>
  <c r="M487" i="8"/>
  <c r="L487" i="8"/>
  <c r="K487" i="8"/>
  <c r="J487" i="8"/>
  <c r="V486" i="8"/>
  <c r="U486" i="8"/>
  <c r="T486" i="8"/>
  <c r="S486" i="8"/>
  <c r="R486" i="8"/>
  <c r="Q486" i="8"/>
  <c r="P486" i="8"/>
  <c r="O486" i="8"/>
  <c r="N486" i="8"/>
  <c r="M486" i="8"/>
  <c r="L486" i="8"/>
  <c r="K486" i="8"/>
  <c r="J486" i="8"/>
  <c r="V485" i="8"/>
  <c r="U485" i="8"/>
  <c r="T485" i="8"/>
  <c r="S485" i="8"/>
  <c r="R485" i="8"/>
  <c r="Q485" i="8"/>
  <c r="P485" i="8"/>
  <c r="O485" i="8"/>
  <c r="N485" i="8"/>
  <c r="M485" i="8"/>
  <c r="L485" i="8"/>
  <c r="K485" i="8"/>
  <c r="J485" i="8"/>
  <c r="V484" i="8"/>
  <c r="U484" i="8"/>
  <c r="T484" i="8"/>
  <c r="S484" i="8"/>
  <c r="R484" i="8"/>
  <c r="Q484" i="8"/>
  <c r="P484" i="8"/>
  <c r="O484" i="8"/>
  <c r="N484" i="8"/>
  <c r="M484" i="8"/>
  <c r="L484" i="8"/>
  <c r="K484" i="8"/>
  <c r="J484" i="8"/>
  <c r="V483" i="8"/>
  <c r="U483" i="8"/>
  <c r="T483" i="8"/>
  <c r="S483" i="8"/>
  <c r="R483" i="8"/>
  <c r="Q483" i="8"/>
  <c r="P483" i="8"/>
  <c r="O483" i="8"/>
  <c r="N483" i="8"/>
  <c r="M483" i="8"/>
  <c r="L483" i="8"/>
  <c r="K483" i="8"/>
  <c r="J483" i="8"/>
  <c r="V482" i="8"/>
  <c r="U482" i="8"/>
  <c r="T482" i="8"/>
  <c r="S482" i="8"/>
  <c r="R482" i="8"/>
  <c r="Q482" i="8"/>
  <c r="P482" i="8"/>
  <c r="O482" i="8"/>
  <c r="N482" i="8"/>
  <c r="M482" i="8"/>
  <c r="L482" i="8"/>
  <c r="K482" i="8"/>
  <c r="J482" i="8"/>
  <c r="V481" i="8"/>
  <c r="U481" i="8"/>
  <c r="T481" i="8"/>
  <c r="S481" i="8"/>
  <c r="R481" i="8"/>
  <c r="Q481" i="8"/>
  <c r="P481" i="8"/>
  <c r="O481" i="8"/>
  <c r="N481" i="8"/>
  <c r="M481" i="8"/>
  <c r="L481" i="8"/>
  <c r="K481" i="8"/>
  <c r="J481" i="8"/>
  <c r="V480" i="8"/>
  <c r="U480" i="8"/>
  <c r="T480" i="8"/>
  <c r="S480" i="8"/>
  <c r="R480" i="8"/>
  <c r="Q480" i="8"/>
  <c r="P480" i="8"/>
  <c r="O480" i="8"/>
  <c r="N480" i="8"/>
  <c r="M480" i="8"/>
  <c r="L480" i="8"/>
  <c r="K480" i="8"/>
  <c r="J480" i="8"/>
  <c r="V479" i="8"/>
  <c r="U479" i="8"/>
  <c r="T479" i="8"/>
  <c r="S479" i="8"/>
  <c r="R479" i="8"/>
  <c r="Q479" i="8"/>
  <c r="P479" i="8"/>
  <c r="O479" i="8"/>
  <c r="N479" i="8"/>
  <c r="M479" i="8"/>
  <c r="L479" i="8"/>
  <c r="K479" i="8"/>
  <c r="J479" i="8"/>
  <c r="V478" i="8"/>
  <c r="U478" i="8"/>
  <c r="T478" i="8"/>
  <c r="S478" i="8"/>
  <c r="R478" i="8"/>
  <c r="Q478" i="8"/>
  <c r="P478" i="8"/>
  <c r="O478" i="8"/>
  <c r="N478" i="8"/>
  <c r="M478" i="8"/>
  <c r="L478" i="8"/>
  <c r="K478" i="8"/>
  <c r="J478" i="8"/>
  <c r="V477" i="8"/>
  <c r="U477" i="8"/>
  <c r="T477" i="8"/>
  <c r="S477" i="8"/>
  <c r="R477" i="8"/>
  <c r="Q477" i="8"/>
  <c r="P477" i="8"/>
  <c r="O477" i="8"/>
  <c r="N477" i="8"/>
  <c r="M477" i="8"/>
  <c r="L477" i="8"/>
  <c r="K477" i="8"/>
  <c r="J477" i="8"/>
  <c r="V476" i="8"/>
  <c r="U476" i="8"/>
  <c r="T476" i="8"/>
  <c r="S476" i="8"/>
  <c r="R476" i="8"/>
  <c r="Q476" i="8"/>
  <c r="P476" i="8"/>
  <c r="O476" i="8"/>
  <c r="N476" i="8"/>
  <c r="M476" i="8"/>
  <c r="L476" i="8"/>
  <c r="K476" i="8"/>
  <c r="J476" i="8"/>
  <c r="V475" i="8"/>
  <c r="U475" i="8"/>
  <c r="T475" i="8"/>
  <c r="S475" i="8"/>
  <c r="R475" i="8"/>
  <c r="Q475" i="8"/>
  <c r="P475" i="8"/>
  <c r="O475" i="8"/>
  <c r="N475" i="8"/>
  <c r="M475" i="8"/>
  <c r="L475" i="8"/>
  <c r="K475" i="8"/>
  <c r="J475" i="8"/>
  <c r="V474" i="8"/>
  <c r="U474" i="8"/>
  <c r="T474" i="8"/>
  <c r="S474" i="8"/>
  <c r="R474" i="8"/>
  <c r="Q474" i="8"/>
  <c r="P474" i="8"/>
  <c r="O474" i="8"/>
  <c r="N474" i="8"/>
  <c r="M474" i="8"/>
  <c r="L474" i="8"/>
  <c r="K474" i="8"/>
  <c r="J474" i="8"/>
  <c r="V473" i="8"/>
  <c r="U473" i="8"/>
  <c r="T473" i="8"/>
  <c r="S473" i="8"/>
  <c r="R473" i="8"/>
  <c r="Q473" i="8"/>
  <c r="P473" i="8"/>
  <c r="O473" i="8"/>
  <c r="N473" i="8"/>
  <c r="M473" i="8"/>
  <c r="L473" i="8"/>
  <c r="K473" i="8"/>
  <c r="J473" i="8"/>
  <c r="V472" i="8"/>
  <c r="U472" i="8"/>
  <c r="T472" i="8"/>
  <c r="S472" i="8"/>
  <c r="R472" i="8"/>
  <c r="Q472" i="8"/>
  <c r="P472" i="8"/>
  <c r="O472" i="8"/>
  <c r="N472" i="8"/>
  <c r="M472" i="8"/>
  <c r="L472" i="8"/>
  <c r="K472" i="8"/>
  <c r="J472" i="8"/>
  <c r="V471" i="8"/>
  <c r="U471" i="8"/>
  <c r="T471" i="8"/>
  <c r="S471" i="8"/>
  <c r="R471" i="8"/>
  <c r="Q471" i="8"/>
  <c r="P471" i="8"/>
  <c r="O471" i="8"/>
  <c r="N471" i="8"/>
  <c r="M471" i="8"/>
  <c r="L471" i="8"/>
  <c r="K471" i="8"/>
  <c r="J471" i="8"/>
  <c r="V470" i="8"/>
  <c r="U470" i="8"/>
  <c r="T470" i="8"/>
  <c r="S470" i="8"/>
  <c r="R470" i="8"/>
  <c r="Q470" i="8"/>
  <c r="P470" i="8"/>
  <c r="O470" i="8"/>
  <c r="N470" i="8"/>
  <c r="M470" i="8"/>
  <c r="L470" i="8"/>
  <c r="K470" i="8"/>
  <c r="J470" i="8"/>
  <c r="V469" i="8"/>
  <c r="U469" i="8"/>
  <c r="T469" i="8"/>
  <c r="S469" i="8"/>
  <c r="R469" i="8"/>
  <c r="Q469" i="8"/>
  <c r="P469" i="8"/>
  <c r="O469" i="8"/>
  <c r="N469" i="8"/>
  <c r="M469" i="8"/>
  <c r="L469" i="8"/>
  <c r="K469" i="8"/>
  <c r="J469" i="8"/>
  <c r="V468" i="8"/>
  <c r="U468" i="8"/>
  <c r="T468" i="8"/>
  <c r="S468" i="8"/>
  <c r="R468" i="8"/>
  <c r="Q468" i="8"/>
  <c r="P468" i="8"/>
  <c r="O468" i="8"/>
  <c r="N468" i="8"/>
  <c r="M468" i="8"/>
  <c r="L468" i="8"/>
  <c r="K468" i="8"/>
  <c r="J468" i="8"/>
  <c r="V467" i="8"/>
  <c r="U467" i="8"/>
  <c r="T467" i="8"/>
  <c r="S467" i="8"/>
  <c r="R467" i="8"/>
  <c r="Q467" i="8"/>
  <c r="P467" i="8"/>
  <c r="O467" i="8"/>
  <c r="N467" i="8"/>
  <c r="M467" i="8"/>
  <c r="L467" i="8"/>
  <c r="K467" i="8"/>
  <c r="J467" i="8"/>
  <c r="V466" i="8"/>
  <c r="U466" i="8"/>
  <c r="T466" i="8"/>
  <c r="S466" i="8"/>
  <c r="R466" i="8"/>
  <c r="Q466" i="8"/>
  <c r="P466" i="8"/>
  <c r="O466" i="8"/>
  <c r="N466" i="8"/>
  <c r="M466" i="8"/>
  <c r="L466" i="8"/>
  <c r="K466" i="8"/>
  <c r="J466" i="8"/>
  <c r="V465" i="8"/>
  <c r="U465" i="8"/>
  <c r="T465" i="8"/>
  <c r="S465" i="8"/>
  <c r="R465" i="8"/>
  <c r="Q465" i="8"/>
  <c r="P465" i="8"/>
  <c r="O465" i="8"/>
  <c r="N465" i="8"/>
  <c r="M465" i="8"/>
  <c r="L465" i="8"/>
  <c r="K465" i="8"/>
  <c r="J465" i="8"/>
  <c r="V464" i="8"/>
  <c r="U464" i="8"/>
  <c r="T464" i="8"/>
  <c r="S464" i="8"/>
  <c r="R464" i="8"/>
  <c r="Q464" i="8"/>
  <c r="P464" i="8"/>
  <c r="O464" i="8"/>
  <c r="N464" i="8"/>
  <c r="M464" i="8"/>
  <c r="L464" i="8"/>
  <c r="K464" i="8"/>
  <c r="J464" i="8"/>
  <c r="V463" i="8"/>
  <c r="U463" i="8"/>
  <c r="T463" i="8"/>
  <c r="S463" i="8"/>
  <c r="R463" i="8"/>
  <c r="Q463" i="8"/>
  <c r="P463" i="8"/>
  <c r="O463" i="8"/>
  <c r="N463" i="8"/>
  <c r="M463" i="8"/>
  <c r="L463" i="8"/>
  <c r="K463" i="8"/>
  <c r="J463" i="8"/>
  <c r="V462" i="8"/>
  <c r="U462" i="8"/>
  <c r="T462" i="8"/>
  <c r="S462" i="8"/>
  <c r="R462" i="8"/>
  <c r="Q462" i="8"/>
  <c r="P462" i="8"/>
  <c r="O462" i="8"/>
  <c r="N462" i="8"/>
  <c r="M462" i="8"/>
  <c r="L462" i="8"/>
  <c r="K462" i="8"/>
  <c r="J462" i="8"/>
  <c r="V461" i="8"/>
  <c r="U461" i="8"/>
  <c r="T461" i="8"/>
  <c r="S461" i="8"/>
  <c r="R461" i="8"/>
  <c r="Q461" i="8"/>
  <c r="P461" i="8"/>
  <c r="O461" i="8"/>
  <c r="N461" i="8"/>
  <c r="M461" i="8"/>
  <c r="L461" i="8"/>
  <c r="K461" i="8"/>
  <c r="J461" i="8"/>
  <c r="V460" i="8"/>
  <c r="U460" i="8"/>
  <c r="T460" i="8"/>
  <c r="S460" i="8"/>
  <c r="R460" i="8"/>
  <c r="Q460" i="8"/>
  <c r="P460" i="8"/>
  <c r="O460" i="8"/>
  <c r="N460" i="8"/>
  <c r="M460" i="8"/>
  <c r="L460" i="8"/>
  <c r="K460" i="8"/>
  <c r="J460" i="8"/>
  <c r="V459" i="8"/>
  <c r="U459" i="8"/>
  <c r="T459" i="8"/>
  <c r="S459" i="8"/>
  <c r="R459" i="8"/>
  <c r="Q459" i="8"/>
  <c r="P459" i="8"/>
  <c r="O459" i="8"/>
  <c r="N459" i="8"/>
  <c r="M459" i="8"/>
  <c r="L459" i="8"/>
  <c r="K459" i="8"/>
  <c r="J459" i="8"/>
  <c r="V458" i="8"/>
  <c r="U458" i="8"/>
  <c r="T458" i="8"/>
  <c r="S458" i="8"/>
  <c r="R458" i="8"/>
  <c r="Q458" i="8"/>
  <c r="P458" i="8"/>
  <c r="O458" i="8"/>
  <c r="N458" i="8"/>
  <c r="M458" i="8"/>
  <c r="L458" i="8"/>
  <c r="K458" i="8"/>
  <c r="J458" i="8"/>
  <c r="V457" i="8"/>
  <c r="U457" i="8"/>
  <c r="T457" i="8"/>
  <c r="S457" i="8"/>
  <c r="R457" i="8"/>
  <c r="Q457" i="8"/>
  <c r="P457" i="8"/>
  <c r="O457" i="8"/>
  <c r="N457" i="8"/>
  <c r="M457" i="8"/>
  <c r="L457" i="8"/>
  <c r="K457" i="8"/>
  <c r="J457" i="8"/>
  <c r="V456" i="8"/>
  <c r="U456" i="8"/>
  <c r="T456" i="8"/>
  <c r="S456" i="8"/>
  <c r="R456" i="8"/>
  <c r="Q456" i="8"/>
  <c r="P456" i="8"/>
  <c r="O456" i="8"/>
  <c r="N456" i="8"/>
  <c r="M456" i="8"/>
  <c r="L456" i="8"/>
  <c r="K456" i="8"/>
  <c r="J456" i="8"/>
  <c r="V455" i="8"/>
  <c r="U455" i="8"/>
  <c r="T455" i="8"/>
  <c r="S455" i="8"/>
  <c r="R455" i="8"/>
  <c r="Q455" i="8"/>
  <c r="P455" i="8"/>
  <c r="O455" i="8"/>
  <c r="N455" i="8"/>
  <c r="M455" i="8"/>
  <c r="L455" i="8"/>
  <c r="K455" i="8"/>
  <c r="J455" i="8"/>
  <c r="V454" i="8"/>
  <c r="U454" i="8"/>
  <c r="T454" i="8"/>
  <c r="S454" i="8"/>
  <c r="R454" i="8"/>
  <c r="Q454" i="8"/>
  <c r="P454" i="8"/>
  <c r="O454" i="8"/>
  <c r="N454" i="8"/>
  <c r="M454" i="8"/>
  <c r="L454" i="8"/>
  <c r="K454" i="8"/>
  <c r="J454" i="8"/>
  <c r="V453" i="8"/>
  <c r="U453" i="8"/>
  <c r="T453" i="8"/>
  <c r="S453" i="8"/>
  <c r="R453" i="8"/>
  <c r="Q453" i="8"/>
  <c r="P453" i="8"/>
  <c r="O453" i="8"/>
  <c r="N453" i="8"/>
  <c r="M453" i="8"/>
  <c r="L453" i="8"/>
  <c r="K453" i="8"/>
  <c r="J453" i="8"/>
  <c r="V452" i="8"/>
  <c r="U452" i="8"/>
  <c r="T452" i="8"/>
  <c r="S452" i="8"/>
  <c r="R452" i="8"/>
  <c r="Q452" i="8"/>
  <c r="P452" i="8"/>
  <c r="O452" i="8"/>
  <c r="N452" i="8"/>
  <c r="M452" i="8"/>
  <c r="L452" i="8"/>
  <c r="K452" i="8"/>
  <c r="J452" i="8"/>
  <c r="V451" i="8"/>
  <c r="U451" i="8"/>
  <c r="T451" i="8"/>
  <c r="S451" i="8"/>
  <c r="R451" i="8"/>
  <c r="Q451" i="8"/>
  <c r="P451" i="8"/>
  <c r="O451" i="8"/>
  <c r="N451" i="8"/>
  <c r="M451" i="8"/>
  <c r="L451" i="8"/>
  <c r="K451" i="8"/>
  <c r="J451" i="8"/>
  <c r="V450" i="8"/>
  <c r="U450" i="8"/>
  <c r="T450" i="8"/>
  <c r="S450" i="8"/>
  <c r="R450" i="8"/>
  <c r="Q450" i="8"/>
  <c r="P450" i="8"/>
  <c r="O450" i="8"/>
  <c r="N450" i="8"/>
  <c r="M450" i="8"/>
  <c r="L450" i="8"/>
  <c r="K450" i="8"/>
  <c r="J450" i="8"/>
  <c r="V449" i="8"/>
  <c r="U449" i="8"/>
  <c r="T449" i="8"/>
  <c r="S449" i="8"/>
  <c r="R449" i="8"/>
  <c r="Q449" i="8"/>
  <c r="P449" i="8"/>
  <c r="O449" i="8"/>
  <c r="N449" i="8"/>
  <c r="M449" i="8"/>
  <c r="L449" i="8"/>
  <c r="K449" i="8"/>
  <c r="J449" i="8"/>
  <c r="V448" i="8"/>
  <c r="U448" i="8"/>
  <c r="T448" i="8"/>
  <c r="S448" i="8"/>
  <c r="R448" i="8"/>
  <c r="Q448" i="8"/>
  <c r="P448" i="8"/>
  <c r="O448" i="8"/>
  <c r="N448" i="8"/>
  <c r="M448" i="8"/>
  <c r="L448" i="8"/>
  <c r="K448" i="8"/>
  <c r="J448" i="8"/>
  <c r="V447" i="8"/>
  <c r="U447" i="8"/>
  <c r="T447" i="8"/>
  <c r="S447" i="8"/>
  <c r="R447" i="8"/>
  <c r="Q447" i="8"/>
  <c r="P447" i="8"/>
  <c r="O447" i="8"/>
  <c r="N447" i="8"/>
  <c r="M447" i="8"/>
  <c r="L447" i="8"/>
  <c r="K447" i="8"/>
  <c r="J447" i="8"/>
  <c r="V446" i="8"/>
  <c r="U446" i="8"/>
  <c r="T446" i="8"/>
  <c r="S446" i="8"/>
  <c r="R446" i="8"/>
  <c r="Q446" i="8"/>
  <c r="P446" i="8"/>
  <c r="O446" i="8"/>
  <c r="N446" i="8"/>
  <c r="M446" i="8"/>
  <c r="L446" i="8"/>
  <c r="K446" i="8"/>
  <c r="J446" i="8"/>
  <c r="V445" i="8"/>
  <c r="U445" i="8"/>
  <c r="T445" i="8"/>
  <c r="S445" i="8"/>
  <c r="R445" i="8"/>
  <c r="Q445" i="8"/>
  <c r="P445" i="8"/>
  <c r="O445" i="8"/>
  <c r="N445" i="8"/>
  <c r="M445" i="8"/>
  <c r="L445" i="8"/>
  <c r="K445" i="8"/>
  <c r="J445" i="8"/>
  <c r="V444" i="8"/>
  <c r="U444" i="8"/>
  <c r="T444" i="8"/>
  <c r="S444" i="8"/>
  <c r="R444" i="8"/>
  <c r="Q444" i="8"/>
  <c r="P444" i="8"/>
  <c r="O444" i="8"/>
  <c r="N444" i="8"/>
  <c r="M444" i="8"/>
  <c r="L444" i="8"/>
  <c r="K444" i="8"/>
  <c r="J444" i="8"/>
  <c r="V443" i="8"/>
  <c r="U443" i="8"/>
  <c r="T443" i="8"/>
  <c r="S443" i="8"/>
  <c r="R443" i="8"/>
  <c r="Q443" i="8"/>
  <c r="P443" i="8"/>
  <c r="O443" i="8"/>
  <c r="N443" i="8"/>
  <c r="M443" i="8"/>
  <c r="L443" i="8"/>
  <c r="K443" i="8"/>
  <c r="J443" i="8"/>
  <c r="V442" i="8"/>
  <c r="U442" i="8"/>
  <c r="T442" i="8"/>
  <c r="S442" i="8"/>
  <c r="R442" i="8"/>
  <c r="Q442" i="8"/>
  <c r="P442" i="8"/>
  <c r="O442" i="8"/>
  <c r="N442" i="8"/>
  <c r="M442" i="8"/>
  <c r="L442" i="8"/>
  <c r="K442" i="8"/>
  <c r="J442" i="8"/>
  <c r="V441" i="8"/>
  <c r="U441" i="8"/>
  <c r="T441" i="8"/>
  <c r="S441" i="8"/>
  <c r="R441" i="8"/>
  <c r="Q441" i="8"/>
  <c r="P441" i="8"/>
  <c r="O441" i="8"/>
  <c r="N441" i="8"/>
  <c r="M441" i="8"/>
  <c r="L441" i="8"/>
  <c r="K441" i="8"/>
  <c r="J441" i="8"/>
  <c r="V440" i="8"/>
  <c r="U440" i="8"/>
  <c r="T440" i="8"/>
  <c r="S440" i="8"/>
  <c r="R440" i="8"/>
  <c r="Q440" i="8"/>
  <c r="P440" i="8"/>
  <c r="O440" i="8"/>
  <c r="N440" i="8"/>
  <c r="M440" i="8"/>
  <c r="L440" i="8"/>
  <c r="K440" i="8"/>
  <c r="J440" i="8"/>
  <c r="V439" i="8"/>
  <c r="U439" i="8"/>
  <c r="T439" i="8"/>
  <c r="S439" i="8"/>
  <c r="R439" i="8"/>
  <c r="Q439" i="8"/>
  <c r="P439" i="8"/>
  <c r="O439" i="8"/>
  <c r="N439" i="8"/>
  <c r="M439" i="8"/>
  <c r="L439" i="8"/>
  <c r="K439" i="8"/>
  <c r="J439" i="8"/>
  <c r="V438" i="8"/>
  <c r="U438" i="8"/>
  <c r="T438" i="8"/>
  <c r="S438" i="8"/>
  <c r="R438" i="8"/>
  <c r="Q438" i="8"/>
  <c r="P438" i="8"/>
  <c r="O438" i="8"/>
  <c r="N438" i="8"/>
  <c r="M438" i="8"/>
  <c r="L438" i="8"/>
  <c r="K438" i="8"/>
  <c r="J438" i="8"/>
  <c r="V437" i="8"/>
  <c r="U437" i="8"/>
  <c r="T437" i="8"/>
  <c r="S437" i="8"/>
  <c r="R437" i="8"/>
  <c r="Q437" i="8"/>
  <c r="P437" i="8"/>
  <c r="O437" i="8"/>
  <c r="N437" i="8"/>
  <c r="M437" i="8"/>
  <c r="L437" i="8"/>
  <c r="K437" i="8"/>
  <c r="J437" i="8"/>
  <c r="V436" i="8"/>
  <c r="U436" i="8"/>
  <c r="T436" i="8"/>
  <c r="S436" i="8"/>
  <c r="R436" i="8"/>
  <c r="Q436" i="8"/>
  <c r="P436" i="8"/>
  <c r="O436" i="8"/>
  <c r="N436" i="8"/>
  <c r="M436" i="8"/>
  <c r="L436" i="8"/>
  <c r="K436" i="8"/>
  <c r="J436" i="8"/>
  <c r="V435" i="8"/>
  <c r="U435" i="8"/>
  <c r="T435" i="8"/>
  <c r="S435" i="8"/>
  <c r="R435" i="8"/>
  <c r="Q435" i="8"/>
  <c r="P435" i="8"/>
  <c r="O435" i="8"/>
  <c r="N435" i="8"/>
  <c r="M435" i="8"/>
  <c r="L435" i="8"/>
  <c r="K435" i="8"/>
  <c r="J435" i="8"/>
  <c r="V434" i="8"/>
  <c r="U434" i="8"/>
  <c r="T434" i="8"/>
  <c r="S434" i="8"/>
  <c r="R434" i="8"/>
  <c r="Q434" i="8"/>
  <c r="P434" i="8"/>
  <c r="O434" i="8"/>
  <c r="N434" i="8"/>
  <c r="M434" i="8"/>
  <c r="L434" i="8"/>
  <c r="K434" i="8"/>
  <c r="J434" i="8"/>
  <c r="V433" i="8"/>
  <c r="U433" i="8"/>
  <c r="T433" i="8"/>
  <c r="S433" i="8"/>
  <c r="R433" i="8"/>
  <c r="Q433" i="8"/>
  <c r="P433" i="8"/>
  <c r="O433" i="8"/>
  <c r="N433" i="8"/>
  <c r="M433" i="8"/>
  <c r="L433" i="8"/>
  <c r="K433" i="8"/>
  <c r="J433" i="8"/>
  <c r="V432" i="8"/>
  <c r="U432" i="8"/>
  <c r="T432" i="8"/>
  <c r="S432" i="8"/>
  <c r="R432" i="8"/>
  <c r="Q432" i="8"/>
  <c r="P432" i="8"/>
  <c r="O432" i="8"/>
  <c r="N432" i="8"/>
  <c r="M432" i="8"/>
  <c r="L432" i="8"/>
  <c r="K432" i="8"/>
  <c r="J432" i="8"/>
  <c r="V431" i="8"/>
  <c r="U431" i="8"/>
  <c r="T431" i="8"/>
  <c r="S431" i="8"/>
  <c r="R431" i="8"/>
  <c r="Q431" i="8"/>
  <c r="P431" i="8"/>
  <c r="O431" i="8"/>
  <c r="N431" i="8"/>
  <c r="M431" i="8"/>
  <c r="L431" i="8"/>
  <c r="K431" i="8"/>
  <c r="J431" i="8"/>
  <c r="V430" i="8"/>
  <c r="U430" i="8"/>
  <c r="T430" i="8"/>
  <c r="S430" i="8"/>
  <c r="R430" i="8"/>
  <c r="Q430" i="8"/>
  <c r="P430" i="8"/>
  <c r="O430" i="8"/>
  <c r="N430" i="8"/>
  <c r="M430" i="8"/>
  <c r="L430" i="8"/>
  <c r="K430" i="8"/>
  <c r="J430" i="8"/>
  <c r="V429" i="8"/>
  <c r="U429" i="8"/>
  <c r="T429" i="8"/>
  <c r="S429" i="8"/>
  <c r="R429" i="8"/>
  <c r="Q429" i="8"/>
  <c r="P429" i="8"/>
  <c r="O429" i="8"/>
  <c r="N429" i="8"/>
  <c r="M429" i="8"/>
  <c r="L429" i="8"/>
  <c r="K429" i="8"/>
  <c r="J429" i="8"/>
  <c r="V428" i="8"/>
  <c r="U428" i="8"/>
  <c r="T428" i="8"/>
  <c r="S428" i="8"/>
  <c r="R428" i="8"/>
  <c r="Q428" i="8"/>
  <c r="P428" i="8"/>
  <c r="O428" i="8"/>
  <c r="N428" i="8"/>
  <c r="M428" i="8"/>
  <c r="L428" i="8"/>
  <c r="K428" i="8"/>
  <c r="J428" i="8"/>
  <c r="V427" i="8"/>
  <c r="U427" i="8"/>
  <c r="T427" i="8"/>
  <c r="S427" i="8"/>
  <c r="R427" i="8"/>
  <c r="Q427" i="8"/>
  <c r="P427" i="8"/>
  <c r="O427" i="8"/>
  <c r="N427" i="8"/>
  <c r="M427" i="8"/>
  <c r="L427" i="8"/>
  <c r="K427" i="8"/>
  <c r="J427" i="8"/>
  <c r="V426" i="8"/>
  <c r="U426" i="8"/>
  <c r="T426" i="8"/>
  <c r="S426" i="8"/>
  <c r="R426" i="8"/>
  <c r="Q426" i="8"/>
  <c r="P426" i="8"/>
  <c r="O426" i="8"/>
  <c r="N426" i="8"/>
  <c r="M426" i="8"/>
  <c r="L426" i="8"/>
  <c r="K426" i="8"/>
  <c r="J426" i="8"/>
  <c r="V425" i="8"/>
  <c r="U425" i="8"/>
  <c r="T425" i="8"/>
  <c r="S425" i="8"/>
  <c r="R425" i="8"/>
  <c r="Q425" i="8"/>
  <c r="P425" i="8"/>
  <c r="O425" i="8"/>
  <c r="N425" i="8"/>
  <c r="M425" i="8"/>
  <c r="L425" i="8"/>
  <c r="K425" i="8"/>
  <c r="J425" i="8"/>
  <c r="V424" i="8"/>
  <c r="U424" i="8"/>
  <c r="T424" i="8"/>
  <c r="S424" i="8"/>
  <c r="R424" i="8"/>
  <c r="Q424" i="8"/>
  <c r="P424" i="8"/>
  <c r="O424" i="8"/>
  <c r="N424" i="8"/>
  <c r="M424" i="8"/>
  <c r="L424" i="8"/>
  <c r="K424" i="8"/>
  <c r="J424" i="8"/>
  <c r="V423" i="8"/>
  <c r="U423" i="8"/>
  <c r="T423" i="8"/>
  <c r="S423" i="8"/>
  <c r="R423" i="8"/>
  <c r="Q423" i="8"/>
  <c r="P423" i="8"/>
  <c r="O423" i="8"/>
  <c r="N423" i="8"/>
  <c r="M423" i="8"/>
  <c r="L423" i="8"/>
  <c r="K423" i="8"/>
  <c r="J423" i="8"/>
  <c r="V422" i="8"/>
  <c r="U422" i="8"/>
  <c r="T422" i="8"/>
  <c r="S422" i="8"/>
  <c r="R422" i="8"/>
  <c r="Q422" i="8"/>
  <c r="P422" i="8"/>
  <c r="O422" i="8"/>
  <c r="N422" i="8"/>
  <c r="M422" i="8"/>
  <c r="L422" i="8"/>
  <c r="K422" i="8"/>
  <c r="J422" i="8"/>
  <c r="V421" i="8"/>
  <c r="U421" i="8"/>
  <c r="T421" i="8"/>
  <c r="S421" i="8"/>
  <c r="R421" i="8"/>
  <c r="Q421" i="8"/>
  <c r="P421" i="8"/>
  <c r="O421" i="8"/>
  <c r="N421" i="8"/>
  <c r="M421" i="8"/>
  <c r="L421" i="8"/>
  <c r="K421" i="8"/>
  <c r="J421" i="8"/>
  <c r="V420" i="8"/>
  <c r="U420" i="8"/>
  <c r="T420" i="8"/>
  <c r="S420" i="8"/>
  <c r="R420" i="8"/>
  <c r="Q420" i="8"/>
  <c r="P420" i="8"/>
  <c r="O420" i="8"/>
  <c r="N420" i="8"/>
  <c r="M420" i="8"/>
  <c r="L420" i="8"/>
  <c r="K420" i="8"/>
  <c r="J420" i="8"/>
  <c r="V419" i="8"/>
  <c r="U419" i="8"/>
  <c r="T419" i="8"/>
  <c r="S419" i="8"/>
  <c r="R419" i="8"/>
  <c r="Q419" i="8"/>
  <c r="P419" i="8"/>
  <c r="O419" i="8"/>
  <c r="N419" i="8"/>
  <c r="M419" i="8"/>
  <c r="L419" i="8"/>
  <c r="K419" i="8"/>
  <c r="J419" i="8"/>
  <c r="V418" i="8"/>
  <c r="U418" i="8"/>
  <c r="T418" i="8"/>
  <c r="S418" i="8"/>
  <c r="R418" i="8"/>
  <c r="Q418" i="8"/>
  <c r="P418" i="8"/>
  <c r="O418" i="8"/>
  <c r="N418" i="8"/>
  <c r="M418" i="8"/>
  <c r="L418" i="8"/>
  <c r="K418" i="8"/>
  <c r="J418" i="8"/>
  <c r="V417" i="8"/>
  <c r="U417" i="8"/>
  <c r="T417" i="8"/>
  <c r="S417" i="8"/>
  <c r="R417" i="8"/>
  <c r="Q417" i="8"/>
  <c r="P417" i="8"/>
  <c r="O417" i="8"/>
  <c r="N417" i="8"/>
  <c r="M417" i="8"/>
  <c r="L417" i="8"/>
  <c r="K417" i="8"/>
  <c r="J417" i="8"/>
  <c r="V416" i="8"/>
  <c r="U416" i="8"/>
  <c r="T416" i="8"/>
  <c r="S416" i="8"/>
  <c r="R416" i="8"/>
  <c r="Q416" i="8"/>
  <c r="P416" i="8"/>
  <c r="O416" i="8"/>
  <c r="N416" i="8"/>
  <c r="M416" i="8"/>
  <c r="L416" i="8"/>
  <c r="K416" i="8"/>
  <c r="J416" i="8"/>
  <c r="V415" i="8"/>
  <c r="U415" i="8"/>
  <c r="T415" i="8"/>
  <c r="S415" i="8"/>
  <c r="R415" i="8"/>
  <c r="Q415" i="8"/>
  <c r="P415" i="8"/>
  <c r="O415" i="8"/>
  <c r="N415" i="8"/>
  <c r="M415" i="8"/>
  <c r="L415" i="8"/>
  <c r="K415" i="8"/>
  <c r="J415" i="8"/>
  <c r="V414" i="8"/>
  <c r="U414" i="8"/>
  <c r="T414" i="8"/>
  <c r="S414" i="8"/>
  <c r="R414" i="8"/>
  <c r="Q414" i="8"/>
  <c r="P414" i="8"/>
  <c r="O414" i="8"/>
  <c r="N414" i="8"/>
  <c r="M414" i="8"/>
  <c r="L414" i="8"/>
  <c r="K414" i="8"/>
  <c r="J414" i="8"/>
  <c r="V413" i="8"/>
  <c r="U413" i="8"/>
  <c r="T413" i="8"/>
  <c r="S413" i="8"/>
  <c r="R413" i="8"/>
  <c r="Q413" i="8"/>
  <c r="P413" i="8"/>
  <c r="O413" i="8"/>
  <c r="N413" i="8"/>
  <c r="M413" i="8"/>
  <c r="L413" i="8"/>
  <c r="K413" i="8"/>
  <c r="J413" i="8"/>
  <c r="V412" i="8"/>
  <c r="U412" i="8"/>
  <c r="T412" i="8"/>
  <c r="S412" i="8"/>
  <c r="R412" i="8"/>
  <c r="Q412" i="8"/>
  <c r="P412" i="8"/>
  <c r="O412" i="8"/>
  <c r="N412" i="8"/>
  <c r="M412" i="8"/>
  <c r="L412" i="8"/>
  <c r="K412" i="8"/>
  <c r="J412" i="8"/>
  <c r="V411" i="8"/>
  <c r="U411" i="8"/>
  <c r="T411" i="8"/>
  <c r="S411" i="8"/>
  <c r="R411" i="8"/>
  <c r="Q411" i="8"/>
  <c r="P411" i="8"/>
  <c r="O411" i="8"/>
  <c r="N411" i="8"/>
  <c r="M411" i="8"/>
  <c r="L411" i="8"/>
  <c r="K411" i="8"/>
  <c r="J411" i="8"/>
  <c r="V410" i="8"/>
  <c r="U410" i="8"/>
  <c r="T410" i="8"/>
  <c r="S410" i="8"/>
  <c r="R410" i="8"/>
  <c r="Q410" i="8"/>
  <c r="P410" i="8"/>
  <c r="O410" i="8"/>
  <c r="N410" i="8"/>
  <c r="M410" i="8"/>
  <c r="L410" i="8"/>
  <c r="K410" i="8"/>
  <c r="J410" i="8"/>
  <c r="V409" i="8"/>
  <c r="U409" i="8"/>
  <c r="T409" i="8"/>
  <c r="S409" i="8"/>
  <c r="R409" i="8"/>
  <c r="Q409" i="8"/>
  <c r="P409" i="8"/>
  <c r="O409" i="8"/>
  <c r="N409" i="8"/>
  <c r="M409" i="8"/>
  <c r="L409" i="8"/>
  <c r="K409" i="8"/>
  <c r="J409" i="8"/>
  <c r="V408" i="8"/>
  <c r="U408" i="8"/>
  <c r="T408" i="8"/>
  <c r="S408" i="8"/>
  <c r="R408" i="8"/>
  <c r="Q408" i="8"/>
  <c r="P408" i="8"/>
  <c r="O408" i="8"/>
  <c r="N408" i="8"/>
  <c r="M408" i="8"/>
  <c r="L408" i="8"/>
  <c r="K408" i="8"/>
  <c r="J408" i="8"/>
  <c r="V407" i="8"/>
  <c r="U407" i="8"/>
  <c r="T407" i="8"/>
  <c r="S407" i="8"/>
  <c r="R407" i="8"/>
  <c r="Q407" i="8"/>
  <c r="P407" i="8"/>
  <c r="O407" i="8"/>
  <c r="N407" i="8"/>
  <c r="M407" i="8"/>
  <c r="L407" i="8"/>
  <c r="K407" i="8"/>
  <c r="J407" i="8"/>
  <c r="V406" i="8"/>
  <c r="U406" i="8"/>
  <c r="T406" i="8"/>
  <c r="S406" i="8"/>
  <c r="R406" i="8"/>
  <c r="Q406" i="8"/>
  <c r="P406" i="8"/>
  <c r="O406" i="8"/>
  <c r="N406" i="8"/>
  <c r="M406" i="8"/>
  <c r="L406" i="8"/>
  <c r="K406" i="8"/>
  <c r="J406" i="8"/>
  <c r="V405" i="8"/>
  <c r="U405" i="8"/>
  <c r="T405" i="8"/>
  <c r="S405" i="8"/>
  <c r="R405" i="8"/>
  <c r="Q405" i="8"/>
  <c r="P405" i="8"/>
  <c r="O405" i="8"/>
  <c r="N405" i="8"/>
  <c r="M405" i="8"/>
  <c r="L405" i="8"/>
  <c r="K405" i="8"/>
  <c r="J405" i="8"/>
  <c r="V404" i="8"/>
  <c r="U404" i="8"/>
  <c r="T404" i="8"/>
  <c r="S404" i="8"/>
  <c r="R404" i="8"/>
  <c r="Q404" i="8"/>
  <c r="P404" i="8"/>
  <c r="O404" i="8"/>
  <c r="N404" i="8"/>
  <c r="M404" i="8"/>
  <c r="L404" i="8"/>
  <c r="K404" i="8"/>
  <c r="J404" i="8"/>
  <c r="V403" i="8"/>
  <c r="U403" i="8"/>
  <c r="T403" i="8"/>
  <c r="S403" i="8"/>
  <c r="R403" i="8"/>
  <c r="Q403" i="8"/>
  <c r="P403" i="8"/>
  <c r="O403" i="8"/>
  <c r="N403" i="8"/>
  <c r="M403" i="8"/>
  <c r="L403" i="8"/>
  <c r="K403" i="8"/>
  <c r="J403" i="8"/>
  <c r="V402" i="8"/>
  <c r="U402" i="8"/>
  <c r="T402" i="8"/>
  <c r="S402" i="8"/>
  <c r="R402" i="8"/>
  <c r="Q402" i="8"/>
  <c r="P402" i="8"/>
  <c r="O402" i="8"/>
  <c r="N402" i="8"/>
  <c r="M402" i="8"/>
  <c r="L402" i="8"/>
  <c r="K402" i="8"/>
  <c r="J402" i="8"/>
  <c r="V401" i="8"/>
  <c r="U401" i="8"/>
  <c r="T401" i="8"/>
  <c r="S401" i="8"/>
  <c r="R401" i="8"/>
  <c r="Q401" i="8"/>
  <c r="P401" i="8"/>
  <c r="O401" i="8"/>
  <c r="N401" i="8"/>
  <c r="M401" i="8"/>
  <c r="L401" i="8"/>
  <c r="K401" i="8"/>
  <c r="J401" i="8"/>
  <c r="V400" i="8"/>
  <c r="U400" i="8"/>
  <c r="T400" i="8"/>
  <c r="S400" i="8"/>
  <c r="R400" i="8"/>
  <c r="Q400" i="8"/>
  <c r="P400" i="8"/>
  <c r="O400" i="8"/>
  <c r="N400" i="8"/>
  <c r="M400" i="8"/>
  <c r="L400" i="8"/>
  <c r="K400" i="8"/>
  <c r="J400" i="8"/>
  <c r="V399" i="8"/>
  <c r="U399" i="8"/>
  <c r="T399" i="8"/>
  <c r="S399" i="8"/>
  <c r="R399" i="8"/>
  <c r="Q399" i="8"/>
  <c r="P399" i="8"/>
  <c r="O399" i="8"/>
  <c r="N399" i="8"/>
  <c r="M399" i="8"/>
  <c r="L399" i="8"/>
  <c r="K399" i="8"/>
  <c r="J399" i="8"/>
  <c r="V398" i="8"/>
  <c r="U398" i="8"/>
  <c r="T398" i="8"/>
  <c r="S398" i="8"/>
  <c r="R398" i="8"/>
  <c r="Q398" i="8"/>
  <c r="P398" i="8"/>
  <c r="O398" i="8"/>
  <c r="N398" i="8"/>
  <c r="M398" i="8"/>
  <c r="L398" i="8"/>
  <c r="K398" i="8"/>
  <c r="J398" i="8"/>
  <c r="V397" i="8"/>
  <c r="U397" i="8"/>
  <c r="T397" i="8"/>
  <c r="S397" i="8"/>
  <c r="R397" i="8"/>
  <c r="Q397" i="8"/>
  <c r="P397" i="8"/>
  <c r="O397" i="8"/>
  <c r="N397" i="8"/>
  <c r="M397" i="8"/>
  <c r="L397" i="8"/>
  <c r="K397" i="8"/>
  <c r="J397" i="8"/>
  <c r="V396" i="8"/>
  <c r="U396" i="8"/>
  <c r="T396" i="8"/>
  <c r="S396" i="8"/>
  <c r="R396" i="8"/>
  <c r="Q396" i="8"/>
  <c r="P396" i="8"/>
  <c r="O396" i="8"/>
  <c r="N396" i="8"/>
  <c r="M396" i="8"/>
  <c r="L396" i="8"/>
  <c r="K396" i="8"/>
  <c r="J396" i="8"/>
  <c r="V395" i="8"/>
  <c r="U395" i="8"/>
  <c r="T395" i="8"/>
  <c r="S395" i="8"/>
  <c r="R395" i="8"/>
  <c r="Q395" i="8"/>
  <c r="P395" i="8"/>
  <c r="O395" i="8"/>
  <c r="N395" i="8"/>
  <c r="M395" i="8"/>
  <c r="L395" i="8"/>
  <c r="K395" i="8"/>
  <c r="J395" i="8"/>
  <c r="V394" i="8"/>
  <c r="U394" i="8"/>
  <c r="T394" i="8"/>
  <c r="S394" i="8"/>
  <c r="R394" i="8"/>
  <c r="Q394" i="8"/>
  <c r="P394" i="8"/>
  <c r="O394" i="8"/>
  <c r="N394" i="8"/>
  <c r="M394" i="8"/>
  <c r="L394" i="8"/>
  <c r="K394" i="8"/>
  <c r="J394" i="8"/>
  <c r="V393" i="8"/>
  <c r="U393" i="8"/>
  <c r="T393" i="8"/>
  <c r="S393" i="8"/>
  <c r="R393" i="8"/>
  <c r="Q393" i="8"/>
  <c r="P393" i="8"/>
  <c r="O393" i="8"/>
  <c r="N393" i="8"/>
  <c r="M393" i="8"/>
  <c r="L393" i="8"/>
  <c r="K393" i="8"/>
  <c r="J393" i="8"/>
  <c r="V392" i="8"/>
  <c r="U392" i="8"/>
  <c r="T392" i="8"/>
  <c r="S392" i="8"/>
  <c r="R392" i="8"/>
  <c r="Q392" i="8"/>
  <c r="P392" i="8"/>
  <c r="O392" i="8"/>
  <c r="N392" i="8"/>
  <c r="M392" i="8"/>
  <c r="L392" i="8"/>
  <c r="K392" i="8"/>
  <c r="J392" i="8"/>
  <c r="V391" i="8"/>
  <c r="U391" i="8"/>
  <c r="T391" i="8"/>
  <c r="S391" i="8"/>
  <c r="R391" i="8"/>
  <c r="Q391" i="8"/>
  <c r="P391" i="8"/>
  <c r="O391" i="8"/>
  <c r="N391" i="8"/>
  <c r="M391" i="8"/>
  <c r="L391" i="8"/>
  <c r="K391" i="8"/>
  <c r="J391" i="8"/>
  <c r="V390" i="8"/>
  <c r="U390" i="8"/>
  <c r="T390" i="8"/>
  <c r="S390" i="8"/>
  <c r="R390" i="8"/>
  <c r="Q390" i="8"/>
  <c r="P390" i="8"/>
  <c r="O390" i="8"/>
  <c r="N390" i="8"/>
  <c r="M390" i="8"/>
  <c r="L390" i="8"/>
  <c r="K390" i="8"/>
  <c r="J390" i="8"/>
  <c r="V389" i="8"/>
  <c r="U389" i="8"/>
  <c r="T389" i="8"/>
  <c r="S389" i="8"/>
  <c r="R389" i="8"/>
  <c r="Q389" i="8"/>
  <c r="P389" i="8"/>
  <c r="O389" i="8"/>
  <c r="N389" i="8"/>
  <c r="M389" i="8"/>
  <c r="L389" i="8"/>
  <c r="K389" i="8"/>
  <c r="J389" i="8"/>
  <c r="V388" i="8"/>
  <c r="U388" i="8"/>
  <c r="T388" i="8"/>
  <c r="S388" i="8"/>
  <c r="R388" i="8"/>
  <c r="Q388" i="8"/>
  <c r="P388" i="8"/>
  <c r="O388" i="8"/>
  <c r="N388" i="8"/>
  <c r="M388" i="8"/>
  <c r="L388" i="8"/>
  <c r="K388" i="8"/>
  <c r="J388" i="8"/>
  <c r="V387" i="8"/>
  <c r="U387" i="8"/>
  <c r="T387" i="8"/>
  <c r="S387" i="8"/>
  <c r="R387" i="8"/>
  <c r="Q387" i="8"/>
  <c r="P387" i="8"/>
  <c r="O387" i="8"/>
  <c r="N387" i="8"/>
  <c r="M387" i="8"/>
  <c r="L387" i="8"/>
  <c r="K387" i="8"/>
  <c r="J387" i="8"/>
  <c r="V386" i="8"/>
  <c r="U386" i="8"/>
  <c r="T386" i="8"/>
  <c r="S386" i="8"/>
  <c r="R386" i="8"/>
  <c r="Q386" i="8"/>
  <c r="P386" i="8"/>
  <c r="O386" i="8"/>
  <c r="N386" i="8"/>
  <c r="M386" i="8"/>
  <c r="L386" i="8"/>
  <c r="K386" i="8"/>
  <c r="J386" i="8"/>
  <c r="V385" i="8"/>
  <c r="U385" i="8"/>
  <c r="T385" i="8"/>
  <c r="S385" i="8"/>
  <c r="R385" i="8"/>
  <c r="Q385" i="8"/>
  <c r="P385" i="8"/>
  <c r="O385" i="8"/>
  <c r="N385" i="8"/>
  <c r="M385" i="8"/>
  <c r="L385" i="8"/>
  <c r="K385" i="8"/>
  <c r="J385" i="8"/>
  <c r="V384" i="8"/>
  <c r="U384" i="8"/>
  <c r="T384" i="8"/>
  <c r="S384" i="8"/>
  <c r="R384" i="8"/>
  <c r="Q384" i="8"/>
  <c r="P384" i="8"/>
  <c r="O384" i="8"/>
  <c r="N384" i="8"/>
  <c r="M384" i="8"/>
  <c r="L384" i="8"/>
  <c r="K384" i="8"/>
  <c r="J384" i="8"/>
  <c r="V383" i="8"/>
  <c r="U383" i="8"/>
  <c r="T383" i="8"/>
  <c r="S383" i="8"/>
  <c r="R383" i="8"/>
  <c r="Q383" i="8"/>
  <c r="P383" i="8"/>
  <c r="O383" i="8"/>
  <c r="N383" i="8"/>
  <c r="M383" i="8"/>
  <c r="L383" i="8"/>
  <c r="K383" i="8"/>
  <c r="J383" i="8"/>
  <c r="V382" i="8"/>
  <c r="U382" i="8"/>
  <c r="T382" i="8"/>
  <c r="S382" i="8"/>
  <c r="R382" i="8"/>
  <c r="Q382" i="8"/>
  <c r="P382" i="8"/>
  <c r="O382" i="8"/>
  <c r="N382" i="8"/>
  <c r="M382" i="8"/>
  <c r="L382" i="8"/>
  <c r="K382" i="8"/>
  <c r="J382" i="8"/>
  <c r="V381" i="8"/>
  <c r="U381" i="8"/>
  <c r="T381" i="8"/>
  <c r="S381" i="8"/>
  <c r="R381" i="8"/>
  <c r="Q381" i="8"/>
  <c r="P381" i="8"/>
  <c r="O381" i="8"/>
  <c r="N381" i="8"/>
  <c r="M381" i="8"/>
  <c r="L381" i="8"/>
  <c r="K381" i="8"/>
  <c r="J381" i="8"/>
  <c r="V380" i="8"/>
  <c r="U380" i="8"/>
  <c r="T380" i="8"/>
  <c r="S380" i="8"/>
  <c r="R380" i="8"/>
  <c r="Q380" i="8"/>
  <c r="P380" i="8"/>
  <c r="O380" i="8"/>
  <c r="N380" i="8"/>
  <c r="M380" i="8"/>
  <c r="L380" i="8"/>
  <c r="K380" i="8"/>
  <c r="J380" i="8"/>
  <c r="V379" i="8"/>
  <c r="U379" i="8"/>
  <c r="T379" i="8"/>
  <c r="S379" i="8"/>
  <c r="R379" i="8"/>
  <c r="Q379" i="8"/>
  <c r="P379" i="8"/>
  <c r="O379" i="8"/>
  <c r="N379" i="8"/>
  <c r="M379" i="8"/>
  <c r="L379" i="8"/>
  <c r="K379" i="8"/>
  <c r="J379" i="8"/>
  <c r="V378" i="8"/>
  <c r="U378" i="8"/>
  <c r="T378" i="8"/>
  <c r="S378" i="8"/>
  <c r="R378" i="8"/>
  <c r="Q378" i="8"/>
  <c r="P378" i="8"/>
  <c r="O378" i="8"/>
  <c r="N378" i="8"/>
  <c r="M378" i="8"/>
  <c r="L378" i="8"/>
  <c r="K378" i="8"/>
  <c r="J378" i="8"/>
  <c r="V377" i="8"/>
  <c r="U377" i="8"/>
  <c r="T377" i="8"/>
  <c r="S377" i="8"/>
  <c r="R377" i="8"/>
  <c r="Q377" i="8"/>
  <c r="P377" i="8"/>
  <c r="O377" i="8"/>
  <c r="N377" i="8"/>
  <c r="M377" i="8"/>
  <c r="L377" i="8"/>
  <c r="K377" i="8"/>
  <c r="J377" i="8"/>
  <c r="V376" i="8"/>
  <c r="U376" i="8"/>
  <c r="T376" i="8"/>
  <c r="S376" i="8"/>
  <c r="R376" i="8"/>
  <c r="Q376" i="8"/>
  <c r="P376" i="8"/>
  <c r="O376" i="8"/>
  <c r="N376" i="8"/>
  <c r="M376" i="8"/>
  <c r="L376" i="8"/>
  <c r="K376" i="8"/>
  <c r="J376" i="8"/>
  <c r="V375" i="8"/>
  <c r="U375" i="8"/>
  <c r="T375" i="8"/>
  <c r="S375" i="8"/>
  <c r="R375" i="8"/>
  <c r="Q375" i="8"/>
  <c r="P375" i="8"/>
  <c r="O375" i="8"/>
  <c r="N375" i="8"/>
  <c r="M375" i="8"/>
  <c r="L375" i="8"/>
  <c r="K375" i="8"/>
  <c r="J375" i="8"/>
  <c r="V374" i="8"/>
  <c r="U374" i="8"/>
  <c r="T374" i="8"/>
  <c r="S374" i="8"/>
  <c r="R374" i="8"/>
  <c r="Q374" i="8"/>
  <c r="P374" i="8"/>
  <c r="O374" i="8"/>
  <c r="N374" i="8"/>
  <c r="M374" i="8"/>
  <c r="L374" i="8"/>
  <c r="K374" i="8"/>
  <c r="J374" i="8"/>
  <c r="V373" i="8"/>
  <c r="U373" i="8"/>
  <c r="T373" i="8"/>
  <c r="S373" i="8"/>
  <c r="R373" i="8"/>
  <c r="Q373" i="8"/>
  <c r="P373" i="8"/>
  <c r="O373" i="8"/>
  <c r="N373" i="8"/>
  <c r="M373" i="8"/>
  <c r="L373" i="8"/>
  <c r="K373" i="8"/>
  <c r="J373" i="8"/>
  <c r="V372" i="8"/>
  <c r="U372" i="8"/>
  <c r="T372" i="8"/>
  <c r="S372" i="8"/>
  <c r="R372" i="8"/>
  <c r="Q372" i="8"/>
  <c r="P372" i="8"/>
  <c r="O372" i="8"/>
  <c r="N372" i="8"/>
  <c r="M372" i="8"/>
  <c r="L372" i="8"/>
  <c r="K372" i="8"/>
  <c r="J372" i="8"/>
  <c r="V371" i="8"/>
  <c r="U371" i="8"/>
  <c r="T371" i="8"/>
  <c r="S371" i="8"/>
  <c r="R371" i="8"/>
  <c r="Q371" i="8"/>
  <c r="P371" i="8"/>
  <c r="O371" i="8"/>
  <c r="N371" i="8"/>
  <c r="M371" i="8"/>
  <c r="L371" i="8"/>
  <c r="K371" i="8"/>
  <c r="J371" i="8"/>
  <c r="V370" i="8"/>
  <c r="U370" i="8"/>
  <c r="T370" i="8"/>
  <c r="S370" i="8"/>
  <c r="R370" i="8"/>
  <c r="Q370" i="8"/>
  <c r="P370" i="8"/>
  <c r="O370" i="8"/>
  <c r="N370" i="8"/>
  <c r="M370" i="8"/>
  <c r="L370" i="8"/>
  <c r="K370" i="8"/>
  <c r="J370" i="8"/>
  <c r="V369" i="8"/>
  <c r="U369" i="8"/>
  <c r="T369" i="8"/>
  <c r="S369" i="8"/>
  <c r="R369" i="8"/>
  <c r="Q369" i="8"/>
  <c r="P369" i="8"/>
  <c r="O369" i="8"/>
  <c r="N369" i="8"/>
  <c r="M369" i="8"/>
  <c r="L369" i="8"/>
  <c r="K369" i="8"/>
  <c r="J369" i="8"/>
  <c r="V368" i="8"/>
  <c r="U368" i="8"/>
  <c r="T368" i="8"/>
  <c r="S368" i="8"/>
  <c r="R368" i="8"/>
  <c r="Q368" i="8"/>
  <c r="P368" i="8"/>
  <c r="O368" i="8"/>
  <c r="N368" i="8"/>
  <c r="M368" i="8"/>
  <c r="L368" i="8"/>
  <c r="K368" i="8"/>
  <c r="J368" i="8"/>
  <c r="V367" i="8"/>
  <c r="U367" i="8"/>
  <c r="T367" i="8"/>
  <c r="S367" i="8"/>
  <c r="R367" i="8"/>
  <c r="Q367" i="8"/>
  <c r="P367" i="8"/>
  <c r="O367" i="8"/>
  <c r="N367" i="8"/>
  <c r="M367" i="8"/>
  <c r="L367" i="8"/>
  <c r="K367" i="8"/>
  <c r="J367" i="8"/>
  <c r="V366" i="8"/>
  <c r="U366" i="8"/>
  <c r="T366" i="8"/>
  <c r="S366" i="8"/>
  <c r="R366" i="8"/>
  <c r="Q366" i="8"/>
  <c r="P366" i="8"/>
  <c r="O366" i="8"/>
  <c r="N366" i="8"/>
  <c r="M366" i="8"/>
  <c r="L366" i="8"/>
  <c r="K366" i="8"/>
  <c r="J366" i="8"/>
  <c r="V365" i="8"/>
  <c r="U365" i="8"/>
  <c r="T365" i="8"/>
  <c r="S365" i="8"/>
  <c r="R365" i="8"/>
  <c r="Q365" i="8"/>
  <c r="P365" i="8"/>
  <c r="O365" i="8"/>
  <c r="N365" i="8"/>
  <c r="M365" i="8"/>
  <c r="L365" i="8"/>
  <c r="K365" i="8"/>
  <c r="J365" i="8"/>
  <c r="V364" i="8"/>
  <c r="U364" i="8"/>
  <c r="T364" i="8"/>
  <c r="S364" i="8"/>
  <c r="R364" i="8"/>
  <c r="Q364" i="8"/>
  <c r="P364" i="8"/>
  <c r="O364" i="8"/>
  <c r="N364" i="8"/>
  <c r="M364" i="8"/>
  <c r="L364" i="8"/>
  <c r="K364" i="8"/>
  <c r="J364" i="8"/>
  <c r="V363" i="8"/>
  <c r="U363" i="8"/>
  <c r="T363" i="8"/>
  <c r="S363" i="8"/>
  <c r="R363" i="8"/>
  <c r="Q363" i="8"/>
  <c r="P363" i="8"/>
  <c r="O363" i="8"/>
  <c r="N363" i="8"/>
  <c r="M363" i="8"/>
  <c r="L363" i="8"/>
  <c r="K363" i="8"/>
  <c r="J363" i="8"/>
  <c r="V362" i="8"/>
  <c r="U362" i="8"/>
  <c r="T362" i="8"/>
  <c r="S362" i="8"/>
  <c r="R362" i="8"/>
  <c r="Q362" i="8"/>
  <c r="P362" i="8"/>
  <c r="O362" i="8"/>
  <c r="N362" i="8"/>
  <c r="M362" i="8"/>
  <c r="L362" i="8"/>
  <c r="K362" i="8"/>
  <c r="J362" i="8"/>
  <c r="V361" i="8"/>
  <c r="U361" i="8"/>
  <c r="T361" i="8"/>
  <c r="S361" i="8"/>
  <c r="R361" i="8"/>
  <c r="Q361" i="8"/>
  <c r="P361" i="8"/>
  <c r="O361" i="8"/>
  <c r="N361" i="8"/>
  <c r="M361" i="8"/>
  <c r="L361" i="8"/>
  <c r="K361" i="8"/>
  <c r="J361" i="8"/>
  <c r="V360" i="8"/>
  <c r="U360" i="8"/>
  <c r="T360" i="8"/>
  <c r="S360" i="8"/>
  <c r="R360" i="8"/>
  <c r="Q360" i="8"/>
  <c r="P360" i="8"/>
  <c r="O360" i="8"/>
  <c r="N360" i="8"/>
  <c r="M360" i="8"/>
  <c r="L360" i="8"/>
  <c r="K360" i="8"/>
  <c r="J360" i="8"/>
  <c r="V359" i="8"/>
  <c r="U359" i="8"/>
  <c r="T359" i="8"/>
  <c r="S359" i="8"/>
  <c r="R359" i="8"/>
  <c r="Q359" i="8"/>
  <c r="P359" i="8"/>
  <c r="O359" i="8"/>
  <c r="N359" i="8"/>
  <c r="M359" i="8"/>
  <c r="L359" i="8"/>
  <c r="K359" i="8"/>
  <c r="J359" i="8"/>
  <c r="V358" i="8"/>
  <c r="U358" i="8"/>
  <c r="T358" i="8"/>
  <c r="S358" i="8"/>
  <c r="R358" i="8"/>
  <c r="Q358" i="8"/>
  <c r="P358" i="8"/>
  <c r="O358" i="8"/>
  <c r="N358" i="8"/>
  <c r="M358" i="8"/>
  <c r="L358" i="8"/>
  <c r="K358" i="8"/>
  <c r="J358" i="8"/>
  <c r="V357" i="8"/>
  <c r="U357" i="8"/>
  <c r="T357" i="8"/>
  <c r="S357" i="8"/>
  <c r="R357" i="8"/>
  <c r="Q357" i="8"/>
  <c r="P357" i="8"/>
  <c r="O357" i="8"/>
  <c r="N357" i="8"/>
  <c r="M357" i="8"/>
  <c r="L357" i="8"/>
  <c r="K357" i="8"/>
  <c r="J357" i="8"/>
  <c r="V356" i="8"/>
  <c r="U356" i="8"/>
  <c r="T356" i="8"/>
  <c r="S356" i="8"/>
  <c r="R356" i="8"/>
  <c r="Q356" i="8"/>
  <c r="P356" i="8"/>
  <c r="O356" i="8"/>
  <c r="N356" i="8"/>
  <c r="M356" i="8"/>
  <c r="L356" i="8"/>
  <c r="K356" i="8"/>
  <c r="J356" i="8"/>
  <c r="V355" i="8"/>
  <c r="U355" i="8"/>
  <c r="T355" i="8"/>
  <c r="S355" i="8"/>
  <c r="R355" i="8"/>
  <c r="Q355" i="8"/>
  <c r="P355" i="8"/>
  <c r="O355" i="8"/>
  <c r="N355" i="8"/>
  <c r="M355" i="8"/>
  <c r="L355" i="8"/>
  <c r="K355" i="8"/>
  <c r="J355" i="8"/>
  <c r="V354" i="8"/>
  <c r="U354" i="8"/>
  <c r="T354" i="8"/>
  <c r="S354" i="8"/>
  <c r="R354" i="8"/>
  <c r="Q354" i="8"/>
  <c r="P354" i="8"/>
  <c r="O354" i="8"/>
  <c r="N354" i="8"/>
  <c r="M354" i="8"/>
  <c r="L354" i="8"/>
  <c r="K354" i="8"/>
  <c r="J354" i="8"/>
  <c r="V353" i="8"/>
  <c r="U353" i="8"/>
  <c r="T353" i="8"/>
  <c r="S353" i="8"/>
  <c r="R353" i="8"/>
  <c r="Q353" i="8"/>
  <c r="P353" i="8"/>
  <c r="O353" i="8"/>
  <c r="N353" i="8"/>
  <c r="M353" i="8"/>
  <c r="L353" i="8"/>
  <c r="K353" i="8"/>
  <c r="J353" i="8"/>
  <c r="V352" i="8"/>
  <c r="U352" i="8"/>
  <c r="T352" i="8"/>
  <c r="S352" i="8"/>
  <c r="R352" i="8"/>
  <c r="Q352" i="8"/>
  <c r="P352" i="8"/>
  <c r="O352" i="8"/>
  <c r="N352" i="8"/>
  <c r="M352" i="8"/>
  <c r="L352" i="8"/>
  <c r="K352" i="8"/>
  <c r="J352" i="8"/>
  <c r="V351" i="8"/>
  <c r="U351" i="8"/>
  <c r="T351" i="8"/>
  <c r="S351" i="8"/>
  <c r="R351" i="8"/>
  <c r="Q351" i="8"/>
  <c r="P351" i="8"/>
  <c r="O351" i="8"/>
  <c r="N351" i="8"/>
  <c r="M351" i="8"/>
  <c r="L351" i="8"/>
  <c r="K351" i="8"/>
  <c r="J351" i="8"/>
  <c r="V350" i="8"/>
  <c r="U350" i="8"/>
  <c r="T350" i="8"/>
  <c r="S350" i="8"/>
  <c r="R350" i="8"/>
  <c r="Q350" i="8"/>
  <c r="P350" i="8"/>
  <c r="O350" i="8"/>
  <c r="N350" i="8"/>
  <c r="M350" i="8"/>
  <c r="L350" i="8"/>
  <c r="K350" i="8"/>
  <c r="J350" i="8"/>
  <c r="V349" i="8"/>
  <c r="U349" i="8"/>
  <c r="T349" i="8"/>
  <c r="S349" i="8"/>
  <c r="R349" i="8"/>
  <c r="Q349" i="8"/>
  <c r="P349" i="8"/>
  <c r="O349" i="8"/>
  <c r="N349" i="8"/>
  <c r="M349" i="8"/>
  <c r="L349" i="8"/>
  <c r="K349" i="8"/>
  <c r="J349" i="8"/>
  <c r="V348" i="8"/>
  <c r="U348" i="8"/>
  <c r="T348" i="8"/>
  <c r="S348" i="8"/>
  <c r="R348" i="8"/>
  <c r="Q348" i="8"/>
  <c r="P348" i="8"/>
  <c r="O348" i="8"/>
  <c r="N348" i="8"/>
  <c r="M348" i="8"/>
  <c r="L348" i="8"/>
  <c r="K348" i="8"/>
  <c r="J348" i="8"/>
  <c r="V347" i="8"/>
  <c r="U347" i="8"/>
  <c r="T347" i="8"/>
  <c r="S347" i="8"/>
  <c r="R347" i="8"/>
  <c r="Q347" i="8"/>
  <c r="P347" i="8"/>
  <c r="O347" i="8"/>
  <c r="N347" i="8"/>
  <c r="M347" i="8"/>
  <c r="L347" i="8"/>
  <c r="K347" i="8"/>
  <c r="J347" i="8"/>
  <c r="V346" i="8"/>
  <c r="U346" i="8"/>
  <c r="T346" i="8"/>
  <c r="S346" i="8"/>
  <c r="R346" i="8"/>
  <c r="Q346" i="8"/>
  <c r="P346" i="8"/>
  <c r="O346" i="8"/>
  <c r="N346" i="8"/>
  <c r="M346" i="8"/>
  <c r="L346" i="8"/>
  <c r="K346" i="8"/>
  <c r="J346" i="8"/>
  <c r="V345" i="8"/>
  <c r="U345" i="8"/>
  <c r="T345" i="8"/>
  <c r="S345" i="8"/>
  <c r="R345" i="8"/>
  <c r="Q345" i="8"/>
  <c r="P345" i="8"/>
  <c r="O345" i="8"/>
  <c r="N345" i="8"/>
  <c r="M345" i="8"/>
  <c r="L345" i="8"/>
  <c r="K345" i="8"/>
  <c r="J345" i="8"/>
  <c r="V344" i="8"/>
  <c r="U344" i="8"/>
  <c r="T344" i="8"/>
  <c r="S344" i="8"/>
  <c r="R344" i="8"/>
  <c r="Q344" i="8"/>
  <c r="P344" i="8"/>
  <c r="O344" i="8"/>
  <c r="N344" i="8"/>
  <c r="M344" i="8"/>
  <c r="L344" i="8"/>
  <c r="K344" i="8"/>
  <c r="J344" i="8"/>
  <c r="V343" i="8"/>
  <c r="U343" i="8"/>
  <c r="T343" i="8"/>
  <c r="S343" i="8"/>
  <c r="R343" i="8"/>
  <c r="Q343" i="8"/>
  <c r="P343" i="8"/>
  <c r="O343" i="8"/>
  <c r="N343" i="8"/>
  <c r="M343" i="8"/>
  <c r="L343" i="8"/>
  <c r="K343" i="8"/>
  <c r="J343" i="8"/>
  <c r="V342" i="8"/>
  <c r="U342" i="8"/>
  <c r="T342" i="8"/>
  <c r="S342" i="8"/>
  <c r="R342" i="8"/>
  <c r="Q342" i="8"/>
  <c r="P342" i="8"/>
  <c r="O342" i="8"/>
  <c r="N342" i="8"/>
  <c r="M342" i="8"/>
  <c r="L342" i="8"/>
  <c r="K342" i="8"/>
  <c r="J342" i="8"/>
  <c r="V341" i="8"/>
  <c r="U341" i="8"/>
  <c r="T341" i="8"/>
  <c r="S341" i="8"/>
  <c r="R341" i="8"/>
  <c r="Q341" i="8"/>
  <c r="P341" i="8"/>
  <c r="O341" i="8"/>
  <c r="N341" i="8"/>
  <c r="M341" i="8"/>
  <c r="L341" i="8"/>
  <c r="K341" i="8"/>
  <c r="J341" i="8"/>
  <c r="V340" i="8"/>
  <c r="U340" i="8"/>
  <c r="T340" i="8"/>
  <c r="S340" i="8"/>
  <c r="R340" i="8"/>
  <c r="Q340" i="8"/>
  <c r="P340" i="8"/>
  <c r="O340" i="8"/>
  <c r="N340" i="8"/>
  <c r="M340" i="8"/>
  <c r="L340" i="8"/>
  <c r="K340" i="8"/>
  <c r="J340" i="8"/>
  <c r="V339" i="8"/>
  <c r="U339" i="8"/>
  <c r="T339" i="8"/>
  <c r="S339" i="8"/>
  <c r="R339" i="8"/>
  <c r="Q339" i="8"/>
  <c r="P339" i="8"/>
  <c r="O339" i="8"/>
  <c r="N339" i="8"/>
  <c r="M339" i="8"/>
  <c r="L339" i="8"/>
  <c r="K339" i="8"/>
  <c r="J339" i="8"/>
  <c r="V338" i="8"/>
  <c r="U338" i="8"/>
  <c r="T338" i="8"/>
  <c r="S338" i="8"/>
  <c r="R338" i="8"/>
  <c r="Q338" i="8"/>
  <c r="P338" i="8"/>
  <c r="O338" i="8"/>
  <c r="N338" i="8"/>
  <c r="M338" i="8"/>
  <c r="L338" i="8"/>
  <c r="K338" i="8"/>
  <c r="J338" i="8"/>
  <c r="V337" i="8"/>
  <c r="U337" i="8"/>
  <c r="T337" i="8"/>
  <c r="S337" i="8"/>
  <c r="R337" i="8"/>
  <c r="Q337" i="8"/>
  <c r="P337" i="8"/>
  <c r="O337" i="8"/>
  <c r="N337" i="8"/>
  <c r="M337" i="8"/>
  <c r="L337" i="8"/>
  <c r="K337" i="8"/>
  <c r="J337" i="8"/>
  <c r="V336" i="8"/>
  <c r="U336" i="8"/>
  <c r="T336" i="8"/>
  <c r="S336" i="8"/>
  <c r="R336" i="8"/>
  <c r="Q336" i="8"/>
  <c r="P336" i="8"/>
  <c r="O336" i="8"/>
  <c r="N336" i="8"/>
  <c r="M336" i="8"/>
  <c r="L336" i="8"/>
  <c r="K336" i="8"/>
  <c r="J336" i="8"/>
  <c r="V335" i="8"/>
  <c r="U335" i="8"/>
  <c r="T335" i="8"/>
  <c r="S335" i="8"/>
  <c r="R335" i="8"/>
  <c r="Q335" i="8"/>
  <c r="P335" i="8"/>
  <c r="O335" i="8"/>
  <c r="N335" i="8"/>
  <c r="M335" i="8"/>
  <c r="L335" i="8"/>
  <c r="K335" i="8"/>
  <c r="J335" i="8"/>
  <c r="V334" i="8"/>
  <c r="U334" i="8"/>
  <c r="T334" i="8"/>
  <c r="S334" i="8"/>
  <c r="R334" i="8"/>
  <c r="Q334" i="8"/>
  <c r="P334" i="8"/>
  <c r="O334" i="8"/>
  <c r="N334" i="8"/>
  <c r="M334" i="8"/>
  <c r="L334" i="8"/>
  <c r="K334" i="8"/>
  <c r="J334" i="8"/>
  <c r="V333" i="8"/>
  <c r="U333" i="8"/>
  <c r="T333" i="8"/>
  <c r="S333" i="8"/>
  <c r="R333" i="8"/>
  <c r="Q333" i="8"/>
  <c r="P333" i="8"/>
  <c r="O333" i="8"/>
  <c r="N333" i="8"/>
  <c r="M333" i="8"/>
  <c r="L333" i="8"/>
  <c r="K333" i="8"/>
  <c r="J333" i="8"/>
  <c r="V332" i="8"/>
  <c r="U332" i="8"/>
  <c r="T332" i="8"/>
  <c r="S332" i="8"/>
  <c r="R332" i="8"/>
  <c r="Q332" i="8"/>
  <c r="P332" i="8"/>
  <c r="O332" i="8"/>
  <c r="N332" i="8"/>
  <c r="M332" i="8"/>
  <c r="L332" i="8"/>
  <c r="K332" i="8"/>
  <c r="J332" i="8"/>
  <c r="V331" i="8"/>
  <c r="U331" i="8"/>
  <c r="T331" i="8"/>
  <c r="S331" i="8"/>
  <c r="R331" i="8"/>
  <c r="Q331" i="8"/>
  <c r="P331" i="8"/>
  <c r="O331" i="8"/>
  <c r="N331" i="8"/>
  <c r="M331" i="8"/>
  <c r="L331" i="8"/>
  <c r="K331" i="8"/>
  <c r="J331" i="8"/>
  <c r="V330" i="8"/>
  <c r="U330" i="8"/>
  <c r="T330" i="8"/>
  <c r="S330" i="8"/>
  <c r="R330" i="8"/>
  <c r="Q330" i="8"/>
  <c r="P330" i="8"/>
  <c r="O330" i="8"/>
  <c r="N330" i="8"/>
  <c r="M330" i="8"/>
  <c r="L330" i="8"/>
  <c r="K330" i="8"/>
  <c r="J330" i="8"/>
  <c r="V329" i="8"/>
  <c r="U329" i="8"/>
  <c r="T329" i="8"/>
  <c r="S329" i="8"/>
  <c r="R329" i="8"/>
  <c r="Q329" i="8"/>
  <c r="P329" i="8"/>
  <c r="O329" i="8"/>
  <c r="N329" i="8"/>
  <c r="M329" i="8"/>
  <c r="L329" i="8"/>
  <c r="K329" i="8"/>
  <c r="J329" i="8"/>
  <c r="V328" i="8"/>
  <c r="U328" i="8"/>
  <c r="T328" i="8"/>
  <c r="S328" i="8"/>
  <c r="R328" i="8"/>
  <c r="Q328" i="8"/>
  <c r="P328" i="8"/>
  <c r="O328" i="8"/>
  <c r="N328" i="8"/>
  <c r="M328" i="8"/>
  <c r="L328" i="8"/>
  <c r="K328" i="8"/>
  <c r="J328" i="8"/>
  <c r="V327" i="8"/>
  <c r="U327" i="8"/>
  <c r="T327" i="8"/>
  <c r="S327" i="8"/>
  <c r="R327" i="8"/>
  <c r="Q327" i="8"/>
  <c r="P327" i="8"/>
  <c r="O327" i="8"/>
  <c r="N327" i="8"/>
  <c r="M327" i="8"/>
  <c r="L327" i="8"/>
  <c r="K327" i="8"/>
  <c r="J327" i="8"/>
  <c r="V326" i="8"/>
  <c r="U326" i="8"/>
  <c r="T326" i="8"/>
  <c r="S326" i="8"/>
  <c r="R326" i="8"/>
  <c r="Q326" i="8"/>
  <c r="P326" i="8"/>
  <c r="O326" i="8"/>
  <c r="N326" i="8"/>
  <c r="M326" i="8"/>
  <c r="L326" i="8"/>
  <c r="K326" i="8"/>
  <c r="J326" i="8"/>
  <c r="V325" i="8"/>
  <c r="U325" i="8"/>
  <c r="T325" i="8"/>
  <c r="S325" i="8"/>
  <c r="R325" i="8"/>
  <c r="Q325" i="8"/>
  <c r="P325" i="8"/>
  <c r="O325" i="8"/>
  <c r="N325" i="8"/>
  <c r="M325" i="8"/>
  <c r="L325" i="8"/>
  <c r="K325" i="8"/>
  <c r="J325" i="8"/>
  <c r="V324" i="8"/>
  <c r="U324" i="8"/>
  <c r="T324" i="8"/>
  <c r="S324" i="8"/>
  <c r="R324" i="8"/>
  <c r="Q324" i="8"/>
  <c r="P324" i="8"/>
  <c r="O324" i="8"/>
  <c r="N324" i="8"/>
  <c r="M324" i="8"/>
  <c r="L324" i="8"/>
  <c r="K324" i="8"/>
  <c r="J324" i="8"/>
  <c r="V323" i="8"/>
  <c r="U323" i="8"/>
  <c r="T323" i="8"/>
  <c r="S323" i="8"/>
  <c r="R323" i="8"/>
  <c r="Q323" i="8"/>
  <c r="P323" i="8"/>
  <c r="O323" i="8"/>
  <c r="N323" i="8"/>
  <c r="M323" i="8"/>
  <c r="L323" i="8"/>
  <c r="K323" i="8"/>
  <c r="J323" i="8"/>
  <c r="V322" i="8"/>
  <c r="U322" i="8"/>
  <c r="T322" i="8"/>
  <c r="S322" i="8"/>
  <c r="R322" i="8"/>
  <c r="Q322" i="8"/>
  <c r="P322" i="8"/>
  <c r="O322" i="8"/>
  <c r="N322" i="8"/>
  <c r="M322" i="8"/>
  <c r="L322" i="8"/>
  <c r="K322" i="8"/>
  <c r="J322" i="8"/>
  <c r="V321" i="8"/>
  <c r="U321" i="8"/>
  <c r="T321" i="8"/>
  <c r="S321" i="8"/>
  <c r="R321" i="8"/>
  <c r="Q321" i="8"/>
  <c r="P321" i="8"/>
  <c r="O321" i="8"/>
  <c r="N321" i="8"/>
  <c r="M321" i="8"/>
  <c r="L321" i="8"/>
  <c r="K321" i="8"/>
  <c r="J321" i="8"/>
  <c r="V320" i="8"/>
  <c r="U320" i="8"/>
  <c r="T320" i="8"/>
  <c r="S320" i="8"/>
  <c r="R320" i="8"/>
  <c r="Q320" i="8"/>
  <c r="P320" i="8"/>
  <c r="O320" i="8"/>
  <c r="N320" i="8"/>
  <c r="M320" i="8"/>
  <c r="L320" i="8"/>
  <c r="K320" i="8"/>
  <c r="J320" i="8"/>
  <c r="V319" i="8"/>
  <c r="U319" i="8"/>
  <c r="T319" i="8"/>
  <c r="S319" i="8"/>
  <c r="R319" i="8"/>
  <c r="Q319" i="8"/>
  <c r="P319" i="8"/>
  <c r="O319" i="8"/>
  <c r="N319" i="8"/>
  <c r="M319" i="8"/>
  <c r="L319" i="8"/>
  <c r="K319" i="8"/>
  <c r="J319" i="8"/>
  <c r="V318" i="8"/>
  <c r="U318" i="8"/>
  <c r="T318" i="8"/>
  <c r="S318" i="8"/>
  <c r="R318" i="8"/>
  <c r="Q318" i="8"/>
  <c r="P318" i="8"/>
  <c r="O318" i="8"/>
  <c r="N318" i="8"/>
  <c r="M318" i="8"/>
  <c r="L318" i="8"/>
  <c r="K318" i="8"/>
  <c r="J318" i="8"/>
  <c r="V317" i="8"/>
  <c r="U317" i="8"/>
  <c r="T317" i="8"/>
  <c r="S317" i="8"/>
  <c r="R317" i="8"/>
  <c r="Q317" i="8"/>
  <c r="P317" i="8"/>
  <c r="O317" i="8"/>
  <c r="N317" i="8"/>
  <c r="M317" i="8"/>
  <c r="L317" i="8"/>
  <c r="K317" i="8"/>
  <c r="J317" i="8"/>
  <c r="V316" i="8"/>
  <c r="U316" i="8"/>
  <c r="T316" i="8"/>
  <c r="S316" i="8"/>
  <c r="R316" i="8"/>
  <c r="Q316" i="8"/>
  <c r="P316" i="8"/>
  <c r="O316" i="8"/>
  <c r="N316" i="8"/>
  <c r="M316" i="8"/>
  <c r="L316" i="8"/>
  <c r="K316" i="8"/>
  <c r="J316" i="8"/>
  <c r="V315" i="8"/>
  <c r="U315" i="8"/>
  <c r="T315" i="8"/>
  <c r="S315" i="8"/>
  <c r="R315" i="8"/>
  <c r="Q315" i="8"/>
  <c r="P315" i="8"/>
  <c r="O315" i="8"/>
  <c r="N315" i="8"/>
  <c r="M315" i="8"/>
  <c r="L315" i="8"/>
  <c r="K315" i="8"/>
  <c r="J315" i="8"/>
  <c r="V314" i="8"/>
  <c r="U314" i="8"/>
  <c r="T314" i="8"/>
  <c r="S314" i="8"/>
  <c r="R314" i="8"/>
  <c r="Q314" i="8"/>
  <c r="P314" i="8"/>
  <c r="O314" i="8"/>
  <c r="N314" i="8"/>
  <c r="M314" i="8"/>
  <c r="L314" i="8"/>
  <c r="K314" i="8"/>
  <c r="J314" i="8"/>
  <c r="V313" i="8"/>
  <c r="U313" i="8"/>
  <c r="T313" i="8"/>
  <c r="S313" i="8"/>
  <c r="R313" i="8"/>
  <c r="Q313" i="8"/>
  <c r="P313" i="8"/>
  <c r="O313" i="8"/>
  <c r="N313" i="8"/>
  <c r="M313" i="8"/>
  <c r="L313" i="8"/>
  <c r="K313" i="8"/>
  <c r="J313" i="8"/>
  <c r="V312" i="8"/>
  <c r="U312" i="8"/>
  <c r="T312" i="8"/>
  <c r="S312" i="8"/>
  <c r="R312" i="8"/>
  <c r="Q312" i="8"/>
  <c r="P312" i="8"/>
  <c r="O312" i="8"/>
  <c r="N312" i="8"/>
  <c r="M312" i="8"/>
  <c r="L312" i="8"/>
  <c r="K312" i="8"/>
  <c r="J312" i="8"/>
  <c r="V311" i="8"/>
  <c r="U311" i="8"/>
  <c r="T311" i="8"/>
  <c r="S311" i="8"/>
  <c r="R311" i="8"/>
  <c r="Q311" i="8"/>
  <c r="P311" i="8"/>
  <c r="O311" i="8"/>
  <c r="N311" i="8"/>
  <c r="M311" i="8"/>
  <c r="L311" i="8"/>
  <c r="K311" i="8"/>
  <c r="J311" i="8"/>
  <c r="V310" i="8"/>
  <c r="U310" i="8"/>
  <c r="T310" i="8"/>
  <c r="S310" i="8"/>
  <c r="R310" i="8"/>
  <c r="Q310" i="8"/>
  <c r="P310" i="8"/>
  <c r="O310" i="8"/>
  <c r="N310" i="8"/>
  <c r="M310" i="8"/>
  <c r="L310" i="8"/>
  <c r="K310" i="8"/>
  <c r="J310" i="8"/>
  <c r="V309" i="8"/>
  <c r="U309" i="8"/>
  <c r="T309" i="8"/>
  <c r="S309" i="8"/>
  <c r="R309" i="8"/>
  <c r="Q309" i="8"/>
  <c r="P309" i="8"/>
  <c r="O309" i="8"/>
  <c r="N309" i="8"/>
  <c r="M309" i="8"/>
  <c r="L309" i="8"/>
  <c r="K309" i="8"/>
  <c r="J309" i="8"/>
  <c r="V308" i="8"/>
  <c r="U308" i="8"/>
  <c r="T308" i="8"/>
  <c r="S308" i="8"/>
  <c r="R308" i="8"/>
  <c r="Q308" i="8"/>
  <c r="P308" i="8"/>
  <c r="O308" i="8"/>
  <c r="N308" i="8"/>
  <c r="M308" i="8"/>
  <c r="L308" i="8"/>
  <c r="K308" i="8"/>
  <c r="J308" i="8"/>
  <c r="V307" i="8"/>
  <c r="U307" i="8"/>
  <c r="T307" i="8"/>
  <c r="S307" i="8"/>
  <c r="R307" i="8"/>
  <c r="Q307" i="8"/>
  <c r="P307" i="8"/>
  <c r="O307" i="8"/>
  <c r="N307" i="8"/>
  <c r="M307" i="8"/>
  <c r="L307" i="8"/>
  <c r="K307" i="8"/>
  <c r="J307" i="8"/>
  <c r="V306" i="8"/>
  <c r="U306" i="8"/>
  <c r="T306" i="8"/>
  <c r="S306" i="8"/>
  <c r="R306" i="8"/>
  <c r="Q306" i="8"/>
  <c r="P306" i="8"/>
  <c r="O306" i="8"/>
  <c r="N306" i="8"/>
  <c r="M306" i="8"/>
  <c r="L306" i="8"/>
  <c r="K306" i="8"/>
  <c r="J306" i="8"/>
  <c r="V305" i="8"/>
  <c r="U305" i="8"/>
  <c r="T305" i="8"/>
  <c r="S305" i="8"/>
  <c r="R305" i="8"/>
  <c r="Q305" i="8"/>
  <c r="P305" i="8"/>
  <c r="O305" i="8"/>
  <c r="N305" i="8"/>
  <c r="M305" i="8"/>
  <c r="L305" i="8"/>
  <c r="K305" i="8"/>
  <c r="J305" i="8"/>
  <c r="V304" i="8"/>
  <c r="U304" i="8"/>
  <c r="T304" i="8"/>
  <c r="S304" i="8"/>
  <c r="R304" i="8"/>
  <c r="Q304" i="8"/>
  <c r="P304" i="8"/>
  <c r="O304" i="8"/>
  <c r="N304" i="8"/>
  <c r="M304" i="8"/>
  <c r="L304" i="8"/>
  <c r="K304" i="8"/>
  <c r="J304" i="8"/>
  <c r="V303" i="8"/>
  <c r="U303" i="8"/>
  <c r="T303" i="8"/>
  <c r="S303" i="8"/>
  <c r="R303" i="8"/>
  <c r="Q303" i="8"/>
  <c r="P303" i="8"/>
  <c r="O303" i="8"/>
  <c r="N303" i="8"/>
  <c r="M303" i="8"/>
  <c r="L303" i="8"/>
  <c r="K303" i="8"/>
  <c r="J303" i="8"/>
  <c r="V302" i="8"/>
  <c r="U302" i="8"/>
  <c r="T302" i="8"/>
  <c r="S302" i="8"/>
  <c r="R302" i="8"/>
  <c r="Q302" i="8"/>
  <c r="P302" i="8"/>
  <c r="O302" i="8"/>
  <c r="N302" i="8"/>
  <c r="M302" i="8"/>
  <c r="L302" i="8"/>
  <c r="K302" i="8"/>
  <c r="J302" i="8"/>
  <c r="V301" i="8"/>
  <c r="U301" i="8"/>
  <c r="T301" i="8"/>
  <c r="S301" i="8"/>
  <c r="R301" i="8"/>
  <c r="Q301" i="8"/>
  <c r="P301" i="8"/>
  <c r="O301" i="8"/>
  <c r="N301" i="8"/>
  <c r="M301" i="8"/>
  <c r="L301" i="8"/>
  <c r="K301" i="8"/>
  <c r="J301" i="8"/>
  <c r="V300" i="8"/>
  <c r="U300" i="8"/>
  <c r="T300" i="8"/>
  <c r="S300" i="8"/>
  <c r="R300" i="8"/>
  <c r="Q300" i="8"/>
  <c r="P300" i="8"/>
  <c r="O300" i="8"/>
  <c r="N300" i="8"/>
  <c r="M300" i="8"/>
  <c r="L300" i="8"/>
  <c r="K300" i="8"/>
  <c r="J300" i="8"/>
  <c r="V299" i="8"/>
  <c r="U299" i="8"/>
  <c r="T299" i="8"/>
  <c r="S299" i="8"/>
  <c r="R299" i="8"/>
  <c r="Q299" i="8"/>
  <c r="P299" i="8"/>
  <c r="O299" i="8"/>
  <c r="N299" i="8"/>
  <c r="M299" i="8"/>
  <c r="L299" i="8"/>
  <c r="K299" i="8"/>
  <c r="J299" i="8"/>
  <c r="V298" i="8"/>
  <c r="U298" i="8"/>
  <c r="T298" i="8"/>
  <c r="S298" i="8"/>
  <c r="R298" i="8"/>
  <c r="Q298" i="8"/>
  <c r="P298" i="8"/>
  <c r="O298" i="8"/>
  <c r="N298" i="8"/>
  <c r="M298" i="8"/>
  <c r="L298" i="8"/>
  <c r="K298" i="8"/>
  <c r="J298" i="8"/>
  <c r="V297" i="8"/>
  <c r="U297" i="8"/>
  <c r="T297" i="8"/>
  <c r="S297" i="8"/>
  <c r="R297" i="8"/>
  <c r="Q297" i="8"/>
  <c r="P297" i="8"/>
  <c r="O297" i="8"/>
  <c r="N297" i="8"/>
  <c r="M297" i="8"/>
  <c r="L297" i="8"/>
  <c r="K297" i="8"/>
  <c r="J297" i="8"/>
  <c r="V296" i="8"/>
  <c r="U296" i="8"/>
  <c r="T296" i="8"/>
  <c r="S296" i="8"/>
  <c r="R296" i="8"/>
  <c r="Q296" i="8"/>
  <c r="P296" i="8"/>
  <c r="O296" i="8"/>
  <c r="N296" i="8"/>
  <c r="M296" i="8"/>
  <c r="L296" i="8"/>
  <c r="K296" i="8"/>
  <c r="J296" i="8"/>
  <c r="V295" i="8"/>
  <c r="U295" i="8"/>
  <c r="T295" i="8"/>
  <c r="S295" i="8"/>
  <c r="R295" i="8"/>
  <c r="Q295" i="8"/>
  <c r="P295" i="8"/>
  <c r="O295" i="8"/>
  <c r="N295" i="8"/>
  <c r="M295" i="8"/>
  <c r="L295" i="8"/>
  <c r="K295" i="8"/>
  <c r="J295" i="8"/>
  <c r="V294" i="8"/>
  <c r="U294" i="8"/>
  <c r="T294" i="8"/>
  <c r="S294" i="8"/>
  <c r="R294" i="8"/>
  <c r="Q294" i="8"/>
  <c r="P294" i="8"/>
  <c r="O294" i="8"/>
  <c r="N294" i="8"/>
  <c r="M294" i="8"/>
  <c r="L294" i="8"/>
  <c r="K294" i="8"/>
  <c r="J294" i="8"/>
  <c r="V293" i="8"/>
  <c r="U293" i="8"/>
  <c r="T293" i="8"/>
  <c r="S293" i="8"/>
  <c r="R293" i="8"/>
  <c r="Q293" i="8"/>
  <c r="P293" i="8"/>
  <c r="O293" i="8"/>
  <c r="N293" i="8"/>
  <c r="M293" i="8"/>
  <c r="L293" i="8"/>
  <c r="K293" i="8"/>
  <c r="J293" i="8"/>
  <c r="V292" i="8"/>
  <c r="U292" i="8"/>
  <c r="T292" i="8"/>
  <c r="S292" i="8"/>
  <c r="R292" i="8"/>
  <c r="Q292" i="8"/>
  <c r="P292" i="8"/>
  <c r="O292" i="8"/>
  <c r="N292" i="8"/>
  <c r="M292" i="8"/>
  <c r="L292" i="8"/>
  <c r="K292" i="8"/>
  <c r="J292" i="8"/>
  <c r="V291" i="8"/>
  <c r="U291" i="8"/>
  <c r="T291" i="8"/>
  <c r="S291" i="8"/>
  <c r="R291" i="8"/>
  <c r="Q291" i="8"/>
  <c r="P291" i="8"/>
  <c r="O291" i="8"/>
  <c r="N291" i="8"/>
  <c r="M291" i="8"/>
  <c r="L291" i="8"/>
  <c r="K291" i="8"/>
  <c r="J291" i="8"/>
  <c r="V290" i="8"/>
  <c r="U290" i="8"/>
  <c r="T290" i="8"/>
  <c r="S290" i="8"/>
  <c r="R290" i="8"/>
  <c r="Q290" i="8"/>
  <c r="P290" i="8"/>
  <c r="O290" i="8"/>
  <c r="N290" i="8"/>
  <c r="M290" i="8"/>
  <c r="L290" i="8"/>
  <c r="K290" i="8"/>
  <c r="J290" i="8"/>
  <c r="V289" i="8"/>
  <c r="U289" i="8"/>
  <c r="T289" i="8"/>
  <c r="S289" i="8"/>
  <c r="R289" i="8"/>
  <c r="Q289" i="8"/>
  <c r="P289" i="8"/>
  <c r="O289" i="8"/>
  <c r="N289" i="8"/>
  <c r="M289" i="8"/>
  <c r="L289" i="8"/>
  <c r="K289" i="8"/>
  <c r="J289" i="8"/>
  <c r="V288" i="8"/>
  <c r="U288" i="8"/>
  <c r="T288" i="8"/>
  <c r="S288" i="8"/>
  <c r="R288" i="8"/>
  <c r="Q288" i="8"/>
  <c r="P288" i="8"/>
  <c r="O288" i="8"/>
  <c r="N288" i="8"/>
  <c r="M288" i="8"/>
  <c r="L288" i="8"/>
  <c r="K288" i="8"/>
  <c r="J288" i="8"/>
  <c r="V287" i="8"/>
  <c r="U287" i="8"/>
  <c r="T287" i="8"/>
  <c r="S287" i="8"/>
  <c r="R287" i="8"/>
  <c r="Q287" i="8"/>
  <c r="P287" i="8"/>
  <c r="O287" i="8"/>
  <c r="N287" i="8"/>
  <c r="M287" i="8"/>
  <c r="L287" i="8"/>
  <c r="K287" i="8"/>
  <c r="J287" i="8"/>
  <c r="V286" i="8"/>
  <c r="U286" i="8"/>
  <c r="T286" i="8"/>
  <c r="S286" i="8"/>
  <c r="R286" i="8"/>
  <c r="Q286" i="8"/>
  <c r="P286" i="8"/>
  <c r="O286" i="8"/>
  <c r="N286" i="8"/>
  <c r="M286" i="8"/>
  <c r="L286" i="8"/>
  <c r="K286" i="8"/>
  <c r="J286" i="8"/>
  <c r="V285" i="8"/>
  <c r="U285" i="8"/>
  <c r="T285" i="8"/>
  <c r="S285" i="8"/>
  <c r="R285" i="8"/>
  <c r="Q285" i="8"/>
  <c r="P285" i="8"/>
  <c r="O285" i="8"/>
  <c r="N285" i="8"/>
  <c r="M285" i="8"/>
  <c r="L285" i="8"/>
  <c r="K285" i="8"/>
  <c r="J285" i="8"/>
  <c r="V284" i="8"/>
  <c r="U284" i="8"/>
  <c r="T284" i="8"/>
  <c r="S284" i="8"/>
  <c r="R284" i="8"/>
  <c r="Q284" i="8"/>
  <c r="P284" i="8"/>
  <c r="O284" i="8"/>
  <c r="N284" i="8"/>
  <c r="M284" i="8"/>
  <c r="L284" i="8"/>
  <c r="K284" i="8"/>
  <c r="J284" i="8"/>
  <c r="V283" i="8"/>
  <c r="U283" i="8"/>
  <c r="T283" i="8"/>
  <c r="S283" i="8"/>
  <c r="R283" i="8"/>
  <c r="Q283" i="8"/>
  <c r="P283" i="8"/>
  <c r="O283" i="8"/>
  <c r="N283" i="8"/>
  <c r="M283" i="8"/>
  <c r="L283" i="8"/>
  <c r="K283" i="8"/>
  <c r="J283" i="8"/>
  <c r="V282" i="8"/>
  <c r="U282" i="8"/>
  <c r="T282" i="8"/>
  <c r="S282" i="8"/>
  <c r="R282" i="8"/>
  <c r="Q282" i="8"/>
  <c r="P282" i="8"/>
  <c r="O282" i="8"/>
  <c r="N282" i="8"/>
  <c r="M282" i="8"/>
  <c r="L282" i="8"/>
  <c r="K282" i="8"/>
  <c r="J282" i="8"/>
  <c r="V281" i="8"/>
  <c r="U281" i="8"/>
  <c r="T281" i="8"/>
  <c r="S281" i="8"/>
  <c r="R281" i="8"/>
  <c r="Q281" i="8"/>
  <c r="P281" i="8"/>
  <c r="O281" i="8"/>
  <c r="N281" i="8"/>
  <c r="M281" i="8"/>
  <c r="L281" i="8"/>
  <c r="K281" i="8"/>
  <c r="J281" i="8"/>
  <c r="V280" i="8"/>
  <c r="U280" i="8"/>
  <c r="T280" i="8"/>
  <c r="S280" i="8"/>
  <c r="R280" i="8"/>
  <c r="Q280" i="8"/>
  <c r="P280" i="8"/>
  <c r="O280" i="8"/>
  <c r="N280" i="8"/>
  <c r="M280" i="8"/>
  <c r="L280" i="8"/>
  <c r="K280" i="8"/>
  <c r="J280" i="8"/>
  <c r="V279" i="8"/>
  <c r="U279" i="8"/>
  <c r="T279" i="8"/>
  <c r="S279" i="8"/>
  <c r="R279" i="8"/>
  <c r="Q279" i="8"/>
  <c r="P279" i="8"/>
  <c r="O279" i="8"/>
  <c r="N279" i="8"/>
  <c r="M279" i="8"/>
  <c r="L279" i="8"/>
  <c r="K279" i="8"/>
  <c r="J279" i="8"/>
  <c r="V278" i="8"/>
  <c r="U278" i="8"/>
  <c r="T278" i="8"/>
  <c r="S278" i="8"/>
  <c r="R278" i="8"/>
  <c r="Q278" i="8"/>
  <c r="P278" i="8"/>
  <c r="O278" i="8"/>
  <c r="N278" i="8"/>
  <c r="M278" i="8"/>
  <c r="L278" i="8"/>
  <c r="K278" i="8"/>
  <c r="J278" i="8"/>
  <c r="V277" i="8"/>
  <c r="U277" i="8"/>
  <c r="T277" i="8"/>
  <c r="S277" i="8"/>
  <c r="R277" i="8"/>
  <c r="Q277" i="8"/>
  <c r="P277" i="8"/>
  <c r="O277" i="8"/>
  <c r="N277" i="8"/>
  <c r="M277" i="8"/>
  <c r="L277" i="8"/>
  <c r="K277" i="8"/>
  <c r="J277" i="8"/>
  <c r="V276" i="8"/>
  <c r="U276" i="8"/>
  <c r="T276" i="8"/>
  <c r="S276" i="8"/>
  <c r="R276" i="8"/>
  <c r="Q276" i="8"/>
  <c r="P276" i="8"/>
  <c r="O276" i="8"/>
  <c r="N276" i="8"/>
  <c r="M276" i="8"/>
  <c r="L276" i="8"/>
  <c r="K276" i="8"/>
  <c r="J276" i="8"/>
  <c r="V275" i="8"/>
  <c r="U275" i="8"/>
  <c r="T275" i="8"/>
  <c r="S275" i="8"/>
  <c r="R275" i="8"/>
  <c r="Q275" i="8"/>
  <c r="P275" i="8"/>
  <c r="O275" i="8"/>
  <c r="N275" i="8"/>
  <c r="M275" i="8"/>
  <c r="L275" i="8"/>
  <c r="K275" i="8"/>
  <c r="J275" i="8"/>
  <c r="V274" i="8"/>
  <c r="U274" i="8"/>
  <c r="T274" i="8"/>
  <c r="S274" i="8"/>
  <c r="R274" i="8"/>
  <c r="Q274" i="8"/>
  <c r="P274" i="8"/>
  <c r="O274" i="8"/>
  <c r="N274" i="8"/>
  <c r="M274" i="8"/>
  <c r="L274" i="8"/>
  <c r="K274" i="8"/>
  <c r="J274" i="8"/>
  <c r="V273" i="8"/>
  <c r="U273" i="8"/>
  <c r="T273" i="8"/>
  <c r="S273" i="8"/>
  <c r="R273" i="8"/>
  <c r="Q273" i="8"/>
  <c r="P273" i="8"/>
  <c r="O273" i="8"/>
  <c r="N273" i="8"/>
  <c r="M273" i="8"/>
  <c r="L273" i="8"/>
  <c r="K273" i="8"/>
  <c r="J273" i="8"/>
  <c r="V272" i="8"/>
  <c r="U272" i="8"/>
  <c r="T272" i="8"/>
  <c r="S272" i="8"/>
  <c r="R272" i="8"/>
  <c r="Q272" i="8"/>
  <c r="P272" i="8"/>
  <c r="O272" i="8"/>
  <c r="N272" i="8"/>
  <c r="M272" i="8"/>
  <c r="L272" i="8"/>
  <c r="K272" i="8"/>
  <c r="J272" i="8"/>
  <c r="V271" i="8"/>
  <c r="U271" i="8"/>
  <c r="T271" i="8"/>
  <c r="S271" i="8"/>
  <c r="R271" i="8"/>
  <c r="Q271" i="8"/>
  <c r="P271" i="8"/>
  <c r="O271" i="8"/>
  <c r="N271" i="8"/>
  <c r="M271" i="8"/>
  <c r="L271" i="8"/>
  <c r="K271" i="8"/>
  <c r="J271" i="8"/>
  <c r="V270" i="8"/>
  <c r="U270" i="8"/>
  <c r="T270" i="8"/>
  <c r="S270" i="8"/>
  <c r="R270" i="8"/>
  <c r="Q270" i="8"/>
  <c r="P270" i="8"/>
  <c r="O270" i="8"/>
  <c r="N270" i="8"/>
  <c r="M270" i="8"/>
  <c r="L270" i="8"/>
  <c r="K270" i="8"/>
  <c r="J270" i="8"/>
  <c r="V269" i="8"/>
  <c r="U269" i="8"/>
  <c r="T269" i="8"/>
  <c r="S269" i="8"/>
  <c r="R269" i="8"/>
  <c r="Q269" i="8"/>
  <c r="P269" i="8"/>
  <c r="O269" i="8"/>
  <c r="N269" i="8"/>
  <c r="M269" i="8"/>
  <c r="L269" i="8"/>
  <c r="K269" i="8"/>
  <c r="J269" i="8"/>
  <c r="V268" i="8"/>
  <c r="U268" i="8"/>
  <c r="T268" i="8"/>
  <c r="S268" i="8"/>
  <c r="R268" i="8"/>
  <c r="Q268" i="8"/>
  <c r="P268" i="8"/>
  <c r="O268" i="8"/>
  <c r="N268" i="8"/>
  <c r="M268" i="8"/>
  <c r="L268" i="8"/>
  <c r="K268" i="8"/>
  <c r="J268" i="8"/>
  <c r="V267" i="8"/>
  <c r="U267" i="8"/>
  <c r="T267" i="8"/>
  <c r="S267" i="8"/>
  <c r="R267" i="8"/>
  <c r="Q267" i="8"/>
  <c r="P267" i="8"/>
  <c r="O267" i="8"/>
  <c r="N267" i="8"/>
  <c r="M267" i="8"/>
  <c r="L267" i="8"/>
  <c r="K267" i="8"/>
  <c r="J267" i="8"/>
  <c r="V266" i="8"/>
  <c r="U266" i="8"/>
  <c r="T266" i="8"/>
  <c r="S266" i="8"/>
  <c r="R266" i="8"/>
  <c r="Q266" i="8"/>
  <c r="P266" i="8"/>
  <c r="O266" i="8"/>
  <c r="N266" i="8"/>
  <c r="M266" i="8"/>
  <c r="L266" i="8"/>
  <c r="K266" i="8"/>
  <c r="J266" i="8"/>
  <c r="V265" i="8"/>
  <c r="U265" i="8"/>
  <c r="T265" i="8"/>
  <c r="S265" i="8"/>
  <c r="R265" i="8"/>
  <c r="Q265" i="8"/>
  <c r="P265" i="8"/>
  <c r="O265" i="8"/>
  <c r="N265" i="8"/>
  <c r="M265" i="8"/>
  <c r="L265" i="8"/>
  <c r="K265" i="8"/>
  <c r="J265" i="8"/>
  <c r="V264" i="8"/>
  <c r="U264" i="8"/>
  <c r="T264" i="8"/>
  <c r="S264" i="8"/>
  <c r="R264" i="8"/>
  <c r="Q264" i="8"/>
  <c r="P264" i="8"/>
  <c r="O264" i="8"/>
  <c r="N264" i="8"/>
  <c r="M264" i="8"/>
  <c r="L264" i="8"/>
  <c r="K264" i="8"/>
  <c r="J264" i="8"/>
  <c r="V263" i="8"/>
  <c r="U263" i="8"/>
  <c r="T263" i="8"/>
  <c r="S263" i="8"/>
  <c r="R263" i="8"/>
  <c r="Q263" i="8"/>
  <c r="P263" i="8"/>
  <c r="O263" i="8"/>
  <c r="N263" i="8"/>
  <c r="M263" i="8"/>
  <c r="L263" i="8"/>
  <c r="K263" i="8"/>
  <c r="J263" i="8"/>
  <c r="V262" i="8"/>
  <c r="U262" i="8"/>
  <c r="T262" i="8"/>
  <c r="S262" i="8"/>
  <c r="R262" i="8"/>
  <c r="Q262" i="8"/>
  <c r="P262" i="8"/>
  <c r="O262" i="8"/>
  <c r="N262" i="8"/>
  <c r="M262" i="8"/>
  <c r="L262" i="8"/>
  <c r="K262" i="8"/>
  <c r="J262" i="8"/>
  <c r="V261" i="8"/>
  <c r="U261" i="8"/>
  <c r="T261" i="8"/>
  <c r="S261" i="8"/>
  <c r="R261" i="8"/>
  <c r="Q261" i="8"/>
  <c r="P261" i="8"/>
  <c r="O261" i="8"/>
  <c r="N261" i="8"/>
  <c r="M261" i="8"/>
  <c r="L261" i="8"/>
  <c r="K261" i="8"/>
  <c r="J261" i="8"/>
  <c r="V260" i="8"/>
  <c r="U260" i="8"/>
  <c r="T260" i="8"/>
  <c r="S260" i="8"/>
  <c r="R260" i="8"/>
  <c r="Q260" i="8"/>
  <c r="P260" i="8"/>
  <c r="O260" i="8"/>
  <c r="N260" i="8"/>
  <c r="M260" i="8"/>
  <c r="L260" i="8"/>
  <c r="K260" i="8"/>
  <c r="J260" i="8"/>
  <c r="V259" i="8"/>
  <c r="U259" i="8"/>
  <c r="T259" i="8"/>
  <c r="S259" i="8"/>
  <c r="R259" i="8"/>
  <c r="Q259" i="8"/>
  <c r="P259" i="8"/>
  <c r="O259" i="8"/>
  <c r="N259" i="8"/>
  <c r="M259" i="8"/>
  <c r="L259" i="8"/>
  <c r="K259" i="8"/>
  <c r="J259" i="8"/>
  <c r="V258" i="8"/>
  <c r="U258" i="8"/>
  <c r="T258" i="8"/>
  <c r="S258" i="8"/>
  <c r="R258" i="8"/>
  <c r="Q258" i="8"/>
  <c r="P258" i="8"/>
  <c r="O258" i="8"/>
  <c r="N258" i="8"/>
  <c r="M258" i="8"/>
  <c r="L258" i="8"/>
  <c r="K258" i="8"/>
  <c r="J258" i="8"/>
  <c r="V257" i="8"/>
  <c r="U257" i="8"/>
  <c r="T257" i="8"/>
  <c r="S257" i="8"/>
  <c r="R257" i="8"/>
  <c r="Q257" i="8"/>
  <c r="P257" i="8"/>
  <c r="O257" i="8"/>
  <c r="N257" i="8"/>
  <c r="M257" i="8"/>
  <c r="L257" i="8"/>
  <c r="K257" i="8"/>
  <c r="J257" i="8"/>
  <c r="V256" i="8"/>
  <c r="U256" i="8"/>
  <c r="T256" i="8"/>
  <c r="S256" i="8"/>
  <c r="R256" i="8"/>
  <c r="Q256" i="8"/>
  <c r="P256" i="8"/>
  <c r="O256" i="8"/>
  <c r="N256" i="8"/>
  <c r="M256" i="8"/>
  <c r="L256" i="8"/>
  <c r="K256" i="8"/>
  <c r="J256" i="8"/>
  <c r="V255" i="8"/>
  <c r="U255" i="8"/>
  <c r="T255" i="8"/>
  <c r="S255" i="8"/>
  <c r="R255" i="8"/>
  <c r="Q255" i="8"/>
  <c r="P255" i="8"/>
  <c r="O255" i="8"/>
  <c r="N255" i="8"/>
  <c r="M255" i="8"/>
  <c r="L255" i="8"/>
  <c r="K255" i="8"/>
  <c r="J255" i="8"/>
  <c r="V254" i="8"/>
  <c r="U254" i="8"/>
  <c r="T254" i="8"/>
  <c r="S254" i="8"/>
  <c r="R254" i="8"/>
  <c r="Q254" i="8"/>
  <c r="P254" i="8"/>
  <c r="O254" i="8"/>
  <c r="N254" i="8"/>
  <c r="M254" i="8"/>
  <c r="L254" i="8"/>
  <c r="K254" i="8"/>
  <c r="J254" i="8"/>
  <c r="V253" i="8"/>
  <c r="U253" i="8"/>
  <c r="T253" i="8"/>
  <c r="S253" i="8"/>
  <c r="R253" i="8"/>
  <c r="Q253" i="8"/>
  <c r="P253" i="8"/>
  <c r="O253" i="8"/>
  <c r="N253" i="8"/>
  <c r="M253" i="8"/>
  <c r="L253" i="8"/>
  <c r="K253" i="8"/>
  <c r="J253" i="8"/>
  <c r="V252" i="8"/>
  <c r="U252" i="8"/>
  <c r="T252" i="8"/>
  <c r="S252" i="8"/>
  <c r="R252" i="8"/>
  <c r="Q252" i="8"/>
  <c r="P252" i="8"/>
  <c r="O252" i="8"/>
  <c r="N252" i="8"/>
  <c r="M252" i="8"/>
  <c r="L252" i="8"/>
  <c r="K252" i="8"/>
  <c r="J252" i="8"/>
  <c r="V251" i="8"/>
  <c r="U251" i="8"/>
  <c r="T251" i="8"/>
  <c r="S251" i="8"/>
  <c r="R251" i="8"/>
  <c r="Q251" i="8"/>
  <c r="P251" i="8"/>
  <c r="O251" i="8"/>
  <c r="N251" i="8"/>
  <c r="M251" i="8"/>
  <c r="L251" i="8"/>
  <c r="K251" i="8"/>
  <c r="J251" i="8"/>
  <c r="V250" i="8"/>
  <c r="U250" i="8"/>
  <c r="T250" i="8"/>
  <c r="S250" i="8"/>
  <c r="R250" i="8"/>
  <c r="Q250" i="8"/>
  <c r="P250" i="8"/>
  <c r="O250" i="8"/>
  <c r="N250" i="8"/>
  <c r="M250" i="8"/>
  <c r="L250" i="8"/>
  <c r="K250" i="8"/>
  <c r="J250" i="8"/>
  <c r="V249" i="8"/>
  <c r="U249" i="8"/>
  <c r="T249" i="8"/>
  <c r="S249" i="8"/>
  <c r="R249" i="8"/>
  <c r="Q249" i="8"/>
  <c r="P249" i="8"/>
  <c r="O249" i="8"/>
  <c r="N249" i="8"/>
  <c r="M249" i="8"/>
  <c r="L249" i="8"/>
  <c r="K249" i="8"/>
  <c r="J249" i="8"/>
  <c r="V248" i="8"/>
  <c r="U248" i="8"/>
  <c r="T248" i="8"/>
  <c r="S248" i="8"/>
  <c r="R248" i="8"/>
  <c r="Q248" i="8"/>
  <c r="P248" i="8"/>
  <c r="O248" i="8"/>
  <c r="N248" i="8"/>
  <c r="M248" i="8"/>
  <c r="L248" i="8"/>
  <c r="K248" i="8"/>
  <c r="J248" i="8"/>
  <c r="V247" i="8"/>
  <c r="U247" i="8"/>
  <c r="T247" i="8"/>
  <c r="S247" i="8"/>
  <c r="R247" i="8"/>
  <c r="Q247" i="8"/>
  <c r="P247" i="8"/>
  <c r="O247" i="8"/>
  <c r="N247" i="8"/>
  <c r="M247" i="8"/>
  <c r="L247" i="8"/>
  <c r="K247" i="8"/>
  <c r="J247" i="8"/>
  <c r="V246" i="8"/>
  <c r="U246" i="8"/>
  <c r="T246" i="8"/>
  <c r="S246" i="8"/>
  <c r="R246" i="8"/>
  <c r="Q246" i="8"/>
  <c r="P246" i="8"/>
  <c r="O246" i="8"/>
  <c r="N246" i="8"/>
  <c r="M246" i="8"/>
  <c r="L246" i="8"/>
  <c r="K246" i="8"/>
  <c r="J246" i="8"/>
  <c r="V245" i="8"/>
  <c r="U245" i="8"/>
  <c r="T245" i="8"/>
  <c r="S245" i="8"/>
  <c r="R245" i="8"/>
  <c r="Q245" i="8"/>
  <c r="P245" i="8"/>
  <c r="O245" i="8"/>
  <c r="N245" i="8"/>
  <c r="M245" i="8"/>
  <c r="L245" i="8"/>
  <c r="K245" i="8"/>
  <c r="J245" i="8"/>
  <c r="V244" i="8"/>
  <c r="U244" i="8"/>
  <c r="T244" i="8"/>
  <c r="S244" i="8"/>
  <c r="R244" i="8"/>
  <c r="Q244" i="8"/>
  <c r="P244" i="8"/>
  <c r="O244" i="8"/>
  <c r="N244" i="8"/>
  <c r="M244" i="8"/>
  <c r="L244" i="8"/>
  <c r="K244" i="8"/>
  <c r="J244" i="8"/>
  <c r="V243" i="8"/>
  <c r="U243" i="8"/>
  <c r="T243" i="8"/>
  <c r="S243" i="8"/>
  <c r="R243" i="8"/>
  <c r="Q243" i="8"/>
  <c r="P243" i="8"/>
  <c r="O243" i="8"/>
  <c r="N243" i="8"/>
  <c r="M243" i="8"/>
  <c r="L243" i="8"/>
  <c r="K243" i="8"/>
  <c r="J243" i="8"/>
  <c r="V242" i="8"/>
  <c r="U242" i="8"/>
  <c r="T242" i="8"/>
  <c r="S242" i="8"/>
  <c r="R242" i="8"/>
  <c r="Q242" i="8"/>
  <c r="P242" i="8"/>
  <c r="O242" i="8"/>
  <c r="N242" i="8"/>
  <c r="M242" i="8"/>
  <c r="L242" i="8"/>
  <c r="K242" i="8"/>
  <c r="J242" i="8"/>
  <c r="V241" i="8"/>
  <c r="U241" i="8"/>
  <c r="T241" i="8"/>
  <c r="S241" i="8"/>
  <c r="R241" i="8"/>
  <c r="Q241" i="8"/>
  <c r="P241" i="8"/>
  <c r="O241" i="8"/>
  <c r="N241" i="8"/>
  <c r="M241" i="8"/>
  <c r="L241" i="8"/>
  <c r="K241" i="8"/>
  <c r="J241" i="8"/>
  <c r="V240" i="8"/>
  <c r="U240" i="8"/>
  <c r="T240" i="8"/>
  <c r="S240" i="8"/>
  <c r="R240" i="8"/>
  <c r="Q240" i="8"/>
  <c r="P240" i="8"/>
  <c r="O240" i="8"/>
  <c r="N240" i="8"/>
  <c r="M240" i="8"/>
  <c r="L240" i="8"/>
  <c r="K240" i="8"/>
  <c r="J240" i="8"/>
  <c r="V239" i="8"/>
  <c r="U239" i="8"/>
  <c r="T239" i="8"/>
  <c r="S239" i="8"/>
  <c r="R239" i="8"/>
  <c r="Q239" i="8"/>
  <c r="P239" i="8"/>
  <c r="O239" i="8"/>
  <c r="N239" i="8"/>
  <c r="M239" i="8"/>
  <c r="L239" i="8"/>
  <c r="K239" i="8"/>
  <c r="J239" i="8"/>
  <c r="V238" i="8"/>
  <c r="U238" i="8"/>
  <c r="T238" i="8"/>
  <c r="S238" i="8"/>
  <c r="R238" i="8"/>
  <c r="Q238" i="8"/>
  <c r="P238" i="8"/>
  <c r="O238" i="8"/>
  <c r="N238" i="8"/>
  <c r="M238" i="8"/>
  <c r="L238" i="8"/>
  <c r="K238" i="8"/>
  <c r="J238" i="8"/>
  <c r="V237" i="8"/>
  <c r="U237" i="8"/>
  <c r="T237" i="8"/>
  <c r="S237" i="8"/>
  <c r="R237" i="8"/>
  <c r="Q237" i="8"/>
  <c r="P237" i="8"/>
  <c r="O237" i="8"/>
  <c r="N237" i="8"/>
  <c r="M237" i="8"/>
  <c r="L237" i="8"/>
  <c r="K237" i="8"/>
  <c r="J237" i="8"/>
  <c r="V236" i="8"/>
  <c r="U236" i="8"/>
  <c r="T236" i="8"/>
  <c r="S236" i="8"/>
  <c r="R236" i="8"/>
  <c r="Q236" i="8"/>
  <c r="P236" i="8"/>
  <c r="O236" i="8"/>
  <c r="N236" i="8"/>
  <c r="M236" i="8"/>
  <c r="L236" i="8"/>
  <c r="K236" i="8"/>
  <c r="J236" i="8"/>
  <c r="V235" i="8"/>
  <c r="U235" i="8"/>
  <c r="T235" i="8"/>
  <c r="S235" i="8"/>
  <c r="R235" i="8"/>
  <c r="Q235" i="8"/>
  <c r="P235" i="8"/>
  <c r="O235" i="8"/>
  <c r="N235" i="8"/>
  <c r="M235" i="8"/>
  <c r="L235" i="8"/>
  <c r="K235" i="8"/>
  <c r="J235" i="8"/>
  <c r="V234" i="8"/>
  <c r="U234" i="8"/>
  <c r="T234" i="8"/>
  <c r="S234" i="8"/>
  <c r="R234" i="8"/>
  <c r="Q234" i="8"/>
  <c r="P234" i="8"/>
  <c r="O234" i="8"/>
  <c r="N234" i="8"/>
  <c r="M234" i="8"/>
  <c r="L234" i="8"/>
  <c r="K234" i="8"/>
  <c r="J234" i="8"/>
  <c r="V233" i="8"/>
  <c r="U233" i="8"/>
  <c r="T233" i="8"/>
  <c r="S233" i="8"/>
  <c r="R233" i="8"/>
  <c r="Q233" i="8"/>
  <c r="P233" i="8"/>
  <c r="O233" i="8"/>
  <c r="N233" i="8"/>
  <c r="M233" i="8"/>
  <c r="L233" i="8"/>
  <c r="K233" i="8"/>
  <c r="J233" i="8"/>
  <c r="V232" i="8"/>
  <c r="U232" i="8"/>
  <c r="T232" i="8"/>
  <c r="S232" i="8"/>
  <c r="R232" i="8"/>
  <c r="Q232" i="8"/>
  <c r="P232" i="8"/>
  <c r="O232" i="8"/>
  <c r="N232" i="8"/>
  <c r="M232" i="8"/>
  <c r="L232" i="8"/>
  <c r="K232" i="8"/>
  <c r="J232" i="8"/>
  <c r="V231" i="8"/>
  <c r="U231" i="8"/>
  <c r="T231" i="8"/>
  <c r="S231" i="8"/>
  <c r="R231" i="8"/>
  <c r="Q231" i="8"/>
  <c r="P231" i="8"/>
  <c r="O231" i="8"/>
  <c r="N231" i="8"/>
  <c r="M231" i="8"/>
  <c r="L231" i="8"/>
  <c r="K231" i="8"/>
  <c r="J231" i="8"/>
  <c r="V230" i="8"/>
  <c r="U230" i="8"/>
  <c r="T230" i="8"/>
  <c r="S230" i="8"/>
  <c r="R230" i="8"/>
  <c r="Q230" i="8"/>
  <c r="P230" i="8"/>
  <c r="O230" i="8"/>
  <c r="N230" i="8"/>
  <c r="M230" i="8"/>
  <c r="L230" i="8"/>
  <c r="K230" i="8"/>
  <c r="J230" i="8"/>
  <c r="V229" i="8"/>
  <c r="U229" i="8"/>
  <c r="T229" i="8"/>
  <c r="S229" i="8"/>
  <c r="R229" i="8"/>
  <c r="Q229" i="8"/>
  <c r="P229" i="8"/>
  <c r="O229" i="8"/>
  <c r="N229" i="8"/>
  <c r="M229" i="8"/>
  <c r="L229" i="8"/>
  <c r="K229" i="8"/>
  <c r="J229" i="8"/>
  <c r="V228" i="8"/>
  <c r="U228" i="8"/>
  <c r="T228" i="8"/>
  <c r="S228" i="8"/>
  <c r="R228" i="8"/>
  <c r="Q228" i="8"/>
  <c r="P228" i="8"/>
  <c r="O228" i="8"/>
  <c r="N228" i="8"/>
  <c r="M228" i="8"/>
  <c r="L228" i="8"/>
  <c r="K228" i="8"/>
  <c r="J228" i="8"/>
  <c r="V227" i="8"/>
  <c r="U227" i="8"/>
  <c r="T227" i="8"/>
  <c r="S227" i="8"/>
  <c r="R227" i="8"/>
  <c r="Q227" i="8"/>
  <c r="P227" i="8"/>
  <c r="O227" i="8"/>
  <c r="N227" i="8"/>
  <c r="M227" i="8"/>
  <c r="L227" i="8"/>
  <c r="K227" i="8"/>
  <c r="J227" i="8"/>
  <c r="V226" i="8"/>
  <c r="U226" i="8"/>
  <c r="T226" i="8"/>
  <c r="S226" i="8"/>
  <c r="R226" i="8"/>
  <c r="Q226" i="8"/>
  <c r="P226" i="8"/>
  <c r="O226" i="8"/>
  <c r="N226" i="8"/>
  <c r="M226" i="8"/>
  <c r="L226" i="8"/>
  <c r="K226" i="8"/>
  <c r="J226" i="8"/>
  <c r="V225" i="8"/>
  <c r="U225" i="8"/>
  <c r="T225" i="8"/>
  <c r="S225" i="8"/>
  <c r="R225" i="8"/>
  <c r="Q225" i="8"/>
  <c r="P225" i="8"/>
  <c r="O225" i="8"/>
  <c r="N225" i="8"/>
  <c r="M225" i="8"/>
  <c r="L225" i="8"/>
  <c r="K225" i="8"/>
  <c r="J225" i="8"/>
  <c r="V224" i="8"/>
  <c r="U224" i="8"/>
  <c r="T224" i="8"/>
  <c r="S224" i="8"/>
  <c r="R224" i="8"/>
  <c r="Q224" i="8"/>
  <c r="P224" i="8"/>
  <c r="O224" i="8"/>
  <c r="N224" i="8"/>
  <c r="M224" i="8"/>
  <c r="L224" i="8"/>
  <c r="K224" i="8"/>
  <c r="J224" i="8"/>
  <c r="V223" i="8"/>
  <c r="U223" i="8"/>
  <c r="T223" i="8"/>
  <c r="S223" i="8"/>
  <c r="R223" i="8"/>
  <c r="Q223" i="8"/>
  <c r="P223" i="8"/>
  <c r="O223" i="8"/>
  <c r="N223" i="8"/>
  <c r="M223" i="8"/>
  <c r="L223" i="8"/>
  <c r="K223" i="8"/>
  <c r="J223" i="8"/>
  <c r="V222" i="8"/>
  <c r="U222" i="8"/>
  <c r="T222" i="8"/>
  <c r="S222" i="8"/>
  <c r="R222" i="8"/>
  <c r="Q222" i="8"/>
  <c r="P222" i="8"/>
  <c r="O222" i="8"/>
  <c r="N222" i="8"/>
  <c r="M222" i="8"/>
  <c r="L222" i="8"/>
  <c r="K222" i="8"/>
  <c r="J222" i="8"/>
  <c r="V221" i="8"/>
  <c r="U221" i="8"/>
  <c r="T221" i="8"/>
  <c r="S221" i="8"/>
  <c r="R221" i="8"/>
  <c r="Q221" i="8"/>
  <c r="P221" i="8"/>
  <c r="O221" i="8"/>
  <c r="N221" i="8"/>
  <c r="M221" i="8"/>
  <c r="L221" i="8"/>
  <c r="K221" i="8"/>
  <c r="J221" i="8"/>
  <c r="V220" i="8"/>
  <c r="U220" i="8"/>
  <c r="T220" i="8"/>
  <c r="S220" i="8"/>
  <c r="R220" i="8"/>
  <c r="Q220" i="8"/>
  <c r="P220" i="8"/>
  <c r="O220" i="8"/>
  <c r="N220" i="8"/>
  <c r="M220" i="8"/>
  <c r="L220" i="8"/>
  <c r="K220" i="8"/>
  <c r="J220" i="8"/>
  <c r="V219" i="8"/>
  <c r="U219" i="8"/>
  <c r="T219" i="8"/>
  <c r="S219" i="8"/>
  <c r="R219" i="8"/>
  <c r="Q219" i="8"/>
  <c r="P219" i="8"/>
  <c r="O219" i="8"/>
  <c r="N219" i="8"/>
  <c r="M219" i="8"/>
  <c r="L219" i="8"/>
  <c r="K219" i="8"/>
  <c r="J219" i="8"/>
  <c r="V218" i="8"/>
  <c r="U218" i="8"/>
  <c r="T218" i="8"/>
  <c r="S218" i="8"/>
  <c r="R218" i="8"/>
  <c r="Q218" i="8"/>
  <c r="P218" i="8"/>
  <c r="O218" i="8"/>
  <c r="N218" i="8"/>
  <c r="M218" i="8"/>
  <c r="L218" i="8"/>
  <c r="K218" i="8"/>
  <c r="J218" i="8"/>
  <c r="V217" i="8"/>
  <c r="U217" i="8"/>
  <c r="T217" i="8"/>
  <c r="S217" i="8"/>
  <c r="R217" i="8"/>
  <c r="Q217" i="8"/>
  <c r="P217" i="8"/>
  <c r="O217" i="8"/>
  <c r="N217" i="8"/>
  <c r="M217" i="8"/>
  <c r="L217" i="8"/>
  <c r="K217" i="8"/>
  <c r="J217" i="8"/>
  <c r="V216" i="8"/>
  <c r="U216" i="8"/>
  <c r="T216" i="8"/>
  <c r="S216" i="8"/>
  <c r="R216" i="8"/>
  <c r="Q216" i="8"/>
  <c r="P216" i="8"/>
  <c r="O216" i="8"/>
  <c r="N216" i="8"/>
  <c r="M216" i="8"/>
  <c r="L216" i="8"/>
  <c r="K216" i="8"/>
  <c r="J216" i="8"/>
  <c r="V215" i="8"/>
  <c r="U215" i="8"/>
  <c r="T215" i="8"/>
  <c r="S215" i="8"/>
  <c r="R215" i="8"/>
  <c r="Q215" i="8"/>
  <c r="P215" i="8"/>
  <c r="O215" i="8"/>
  <c r="N215" i="8"/>
  <c r="M215" i="8"/>
  <c r="L215" i="8"/>
  <c r="K215" i="8"/>
  <c r="J215" i="8"/>
  <c r="V214" i="8"/>
  <c r="U214" i="8"/>
  <c r="T214" i="8"/>
  <c r="S214" i="8"/>
  <c r="R214" i="8"/>
  <c r="Q214" i="8"/>
  <c r="P214" i="8"/>
  <c r="O214" i="8"/>
  <c r="N214" i="8"/>
  <c r="M214" i="8"/>
  <c r="L214" i="8"/>
  <c r="K214" i="8"/>
  <c r="J214" i="8"/>
  <c r="V213" i="8"/>
  <c r="U213" i="8"/>
  <c r="T213" i="8"/>
  <c r="S213" i="8"/>
  <c r="R213" i="8"/>
  <c r="Q213" i="8"/>
  <c r="P213" i="8"/>
  <c r="O213" i="8"/>
  <c r="N213" i="8"/>
  <c r="M213" i="8"/>
  <c r="L213" i="8"/>
  <c r="K213" i="8"/>
  <c r="J213" i="8"/>
  <c r="V212" i="8"/>
  <c r="U212" i="8"/>
  <c r="T212" i="8"/>
  <c r="S212" i="8"/>
  <c r="R212" i="8"/>
  <c r="Q212" i="8"/>
  <c r="P212" i="8"/>
  <c r="O212" i="8"/>
  <c r="N212" i="8"/>
  <c r="M212" i="8"/>
  <c r="L212" i="8"/>
  <c r="K212" i="8"/>
  <c r="J212" i="8"/>
  <c r="V211" i="8"/>
  <c r="U211" i="8"/>
  <c r="T211" i="8"/>
  <c r="S211" i="8"/>
  <c r="R211" i="8"/>
  <c r="Q211" i="8"/>
  <c r="P211" i="8"/>
  <c r="O211" i="8"/>
  <c r="N211" i="8"/>
  <c r="M211" i="8"/>
  <c r="L211" i="8"/>
  <c r="K211" i="8"/>
  <c r="J211" i="8"/>
  <c r="V210" i="8"/>
  <c r="U210" i="8"/>
  <c r="T210" i="8"/>
  <c r="S210" i="8"/>
  <c r="R210" i="8"/>
  <c r="Q210" i="8"/>
  <c r="P210" i="8"/>
  <c r="O210" i="8"/>
  <c r="N210" i="8"/>
  <c r="M210" i="8"/>
  <c r="L210" i="8"/>
  <c r="K210" i="8"/>
  <c r="J210" i="8"/>
  <c r="V209" i="8"/>
  <c r="U209" i="8"/>
  <c r="T209" i="8"/>
  <c r="S209" i="8"/>
  <c r="R209" i="8"/>
  <c r="Q209" i="8"/>
  <c r="P209" i="8"/>
  <c r="O209" i="8"/>
  <c r="N209" i="8"/>
  <c r="M209" i="8"/>
  <c r="L209" i="8"/>
  <c r="K209" i="8"/>
  <c r="J209" i="8"/>
  <c r="V208" i="8"/>
  <c r="U208" i="8"/>
  <c r="T208" i="8"/>
  <c r="S208" i="8"/>
  <c r="R208" i="8"/>
  <c r="Q208" i="8"/>
  <c r="P208" i="8"/>
  <c r="O208" i="8"/>
  <c r="N208" i="8"/>
  <c r="M208" i="8"/>
  <c r="L208" i="8"/>
  <c r="K208" i="8"/>
  <c r="J208" i="8"/>
  <c r="V207" i="8"/>
  <c r="U207" i="8"/>
  <c r="T207" i="8"/>
  <c r="S207" i="8"/>
  <c r="R207" i="8"/>
  <c r="Q207" i="8"/>
  <c r="P207" i="8"/>
  <c r="O207" i="8"/>
  <c r="N207" i="8"/>
  <c r="M207" i="8"/>
  <c r="L207" i="8"/>
  <c r="K207" i="8"/>
  <c r="J207" i="8"/>
  <c r="V206" i="8"/>
  <c r="U206" i="8"/>
  <c r="T206" i="8"/>
  <c r="S206" i="8"/>
  <c r="R206" i="8"/>
  <c r="Q206" i="8"/>
  <c r="P206" i="8"/>
  <c r="O206" i="8"/>
  <c r="N206" i="8"/>
  <c r="M206" i="8"/>
  <c r="L206" i="8"/>
  <c r="K206" i="8"/>
  <c r="J206" i="8"/>
  <c r="V205" i="8"/>
  <c r="U205" i="8"/>
  <c r="T205" i="8"/>
  <c r="S205" i="8"/>
  <c r="R205" i="8"/>
  <c r="Q205" i="8"/>
  <c r="P205" i="8"/>
  <c r="O205" i="8"/>
  <c r="N205" i="8"/>
  <c r="M205" i="8"/>
  <c r="L205" i="8"/>
  <c r="K205" i="8"/>
  <c r="J205" i="8"/>
  <c r="V204" i="8"/>
  <c r="U204" i="8"/>
  <c r="T204" i="8"/>
  <c r="S204" i="8"/>
  <c r="R204" i="8"/>
  <c r="Q204" i="8"/>
  <c r="P204" i="8"/>
  <c r="O204" i="8"/>
  <c r="N204" i="8"/>
  <c r="M204" i="8"/>
  <c r="L204" i="8"/>
  <c r="K204" i="8"/>
  <c r="J204" i="8"/>
  <c r="V203" i="8"/>
  <c r="U203" i="8"/>
  <c r="T203" i="8"/>
  <c r="S203" i="8"/>
  <c r="R203" i="8"/>
  <c r="Q203" i="8"/>
  <c r="P203" i="8"/>
  <c r="O203" i="8"/>
  <c r="N203" i="8"/>
  <c r="M203" i="8"/>
  <c r="L203" i="8"/>
  <c r="K203" i="8"/>
  <c r="J203" i="8"/>
  <c r="V202" i="8"/>
  <c r="U202" i="8"/>
  <c r="T202" i="8"/>
  <c r="S202" i="8"/>
  <c r="R202" i="8"/>
  <c r="Q202" i="8"/>
  <c r="P202" i="8"/>
  <c r="O202" i="8"/>
  <c r="N202" i="8"/>
  <c r="M202" i="8"/>
  <c r="L202" i="8"/>
  <c r="K202" i="8"/>
  <c r="J202" i="8"/>
  <c r="V201" i="8"/>
  <c r="U201" i="8"/>
  <c r="T201" i="8"/>
  <c r="S201" i="8"/>
  <c r="R201" i="8"/>
  <c r="Q201" i="8"/>
  <c r="P201" i="8"/>
  <c r="O201" i="8"/>
  <c r="N201" i="8"/>
  <c r="M201" i="8"/>
  <c r="L201" i="8"/>
  <c r="K201" i="8"/>
  <c r="J201" i="8"/>
  <c r="V200" i="8"/>
  <c r="U200" i="8"/>
  <c r="T200" i="8"/>
  <c r="S200" i="8"/>
  <c r="R200" i="8"/>
  <c r="Q200" i="8"/>
  <c r="P200" i="8"/>
  <c r="O200" i="8"/>
  <c r="N200" i="8"/>
  <c r="M200" i="8"/>
  <c r="L200" i="8"/>
  <c r="K200" i="8"/>
  <c r="J200" i="8"/>
  <c r="V199" i="8"/>
  <c r="U199" i="8"/>
  <c r="T199" i="8"/>
  <c r="S199" i="8"/>
  <c r="R199" i="8"/>
  <c r="Q199" i="8"/>
  <c r="P199" i="8"/>
  <c r="O199" i="8"/>
  <c r="N199" i="8"/>
  <c r="M199" i="8"/>
  <c r="L199" i="8"/>
  <c r="K199" i="8"/>
  <c r="J199" i="8"/>
  <c r="V198" i="8"/>
  <c r="U198" i="8"/>
  <c r="T198" i="8"/>
  <c r="S198" i="8"/>
  <c r="R198" i="8"/>
  <c r="Q198" i="8"/>
  <c r="P198" i="8"/>
  <c r="O198" i="8"/>
  <c r="N198" i="8"/>
  <c r="M198" i="8"/>
  <c r="L198" i="8"/>
  <c r="K198" i="8"/>
  <c r="J198" i="8"/>
  <c r="V197" i="8"/>
  <c r="U197" i="8"/>
  <c r="T197" i="8"/>
  <c r="S197" i="8"/>
  <c r="R197" i="8"/>
  <c r="Q197" i="8"/>
  <c r="P197" i="8"/>
  <c r="O197" i="8"/>
  <c r="N197" i="8"/>
  <c r="M197" i="8"/>
  <c r="L197" i="8"/>
  <c r="K197" i="8"/>
  <c r="J197" i="8"/>
  <c r="V196" i="8"/>
  <c r="U196" i="8"/>
  <c r="T196" i="8"/>
  <c r="S196" i="8"/>
  <c r="R196" i="8"/>
  <c r="Q196" i="8"/>
  <c r="P196" i="8"/>
  <c r="O196" i="8"/>
  <c r="N196" i="8"/>
  <c r="M196" i="8"/>
  <c r="L196" i="8"/>
  <c r="K196" i="8"/>
  <c r="J196" i="8"/>
  <c r="V195" i="8"/>
  <c r="U195" i="8"/>
  <c r="T195" i="8"/>
  <c r="S195" i="8"/>
  <c r="R195" i="8"/>
  <c r="Q195" i="8"/>
  <c r="P195" i="8"/>
  <c r="O195" i="8"/>
  <c r="N195" i="8"/>
  <c r="M195" i="8"/>
  <c r="L195" i="8"/>
  <c r="K195" i="8"/>
  <c r="J195" i="8"/>
  <c r="V194" i="8"/>
  <c r="U194" i="8"/>
  <c r="T194" i="8"/>
  <c r="S194" i="8"/>
  <c r="R194" i="8"/>
  <c r="Q194" i="8"/>
  <c r="P194" i="8"/>
  <c r="O194" i="8"/>
  <c r="N194" i="8"/>
  <c r="M194" i="8"/>
  <c r="L194" i="8"/>
  <c r="K194" i="8"/>
  <c r="J194" i="8"/>
  <c r="V193" i="8"/>
  <c r="U193" i="8"/>
  <c r="T193" i="8"/>
  <c r="S193" i="8"/>
  <c r="R193" i="8"/>
  <c r="Q193" i="8"/>
  <c r="P193" i="8"/>
  <c r="O193" i="8"/>
  <c r="N193" i="8"/>
  <c r="M193" i="8"/>
  <c r="L193" i="8"/>
  <c r="K193" i="8"/>
  <c r="J193" i="8"/>
  <c r="V192" i="8"/>
  <c r="U192" i="8"/>
  <c r="T192" i="8"/>
  <c r="S192" i="8"/>
  <c r="R192" i="8"/>
  <c r="Q192" i="8"/>
  <c r="P192" i="8"/>
  <c r="O192" i="8"/>
  <c r="N192" i="8"/>
  <c r="M192" i="8"/>
  <c r="L192" i="8"/>
  <c r="K192" i="8"/>
  <c r="J192" i="8"/>
  <c r="V191" i="8"/>
  <c r="U191" i="8"/>
  <c r="T191" i="8"/>
  <c r="S191" i="8"/>
  <c r="R191" i="8"/>
  <c r="Q191" i="8"/>
  <c r="P191" i="8"/>
  <c r="O191" i="8"/>
  <c r="N191" i="8"/>
  <c r="M191" i="8"/>
  <c r="L191" i="8"/>
  <c r="K191" i="8"/>
  <c r="J191" i="8"/>
  <c r="V190" i="8"/>
  <c r="U190" i="8"/>
  <c r="T190" i="8"/>
  <c r="S190" i="8"/>
  <c r="R190" i="8"/>
  <c r="Q190" i="8"/>
  <c r="P190" i="8"/>
  <c r="O190" i="8"/>
  <c r="N190" i="8"/>
  <c r="M190" i="8"/>
  <c r="L190" i="8"/>
  <c r="K190" i="8"/>
  <c r="J190" i="8"/>
  <c r="V189" i="8"/>
  <c r="U189" i="8"/>
  <c r="T189" i="8"/>
  <c r="S189" i="8"/>
  <c r="R189" i="8"/>
  <c r="Q189" i="8"/>
  <c r="P189" i="8"/>
  <c r="O189" i="8"/>
  <c r="N189" i="8"/>
  <c r="M189" i="8"/>
  <c r="L189" i="8"/>
  <c r="K189" i="8"/>
  <c r="J189" i="8"/>
  <c r="V188" i="8"/>
  <c r="U188" i="8"/>
  <c r="T188" i="8"/>
  <c r="S188" i="8"/>
  <c r="R188" i="8"/>
  <c r="Q188" i="8"/>
  <c r="P188" i="8"/>
  <c r="O188" i="8"/>
  <c r="N188" i="8"/>
  <c r="M188" i="8"/>
  <c r="L188" i="8"/>
  <c r="K188" i="8"/>
  <c r="J188" i="8"/>
  <c r="V187" i="8"/>
  <c r="U187" i="8"/>
  <c r="T187" i="8"/>
  <c r="S187" i="8"/>
  <c r="R187" i="8"/>
  <c r="Q187" i="8"/>
  <c r="P187" i="8"/>
  <c r="O187" i="8"/>
  <c r="N187" i="8"/>
  <c r="M187" i="8"/>
  <c r="L187" i="8"/>
  <c r="K187" i="8"/>
  <c r="J187" i="8"/>
  <c r="V186" i="8"/>
  <c r="U186" i="8"/>
  <c r="T186" i="8"/>
  <c r="S186" i="8"/>
  <c r="R186" i="8"/>
  <c r="Q186" i="8"/>
  <c r="P186" i="8"/>
  <c r="O186" i="8"/>
  <c r="N186" i="8"/>
  <c r="M186" i="8"/>
  <c r="L186" i="8"/>
  <c r="K186" i="8"/>
  <c r="J186" i="8"/>
  <c r="V185" i="8"/>
  <c r="U185" i="8"/>
  <c r="T185" i="8"/>
  <c r="S185" i="8"/>
  <c r="R185" i="8"/>
  <c r="Q185" i="8"/>
  <c r="P185" i="8"/>
  <c r="O185" i="8"/>
  <c r="N185" i="8"/>
  <c r="M185" i="8"/>
  <c r="L185" i="8"/>
  <c r="K185" i="8"/>
  <c r="J185" i="8"/>
  <c r="V184" i="8"/>
  <c r="U184" i="8"/>
  <c r="T184" i="8"/>
  <c r="S184" i="8"/>
  <c r="R184" i="8"/>
  <c r="Q184" i="8"/>
  <c r="P184" i="8"/>
  <c r="O184" i="8"/>
  <c r="N184" i="8"/>
  <c r="M184" i="8"/>
  <c r="L184" i="8"/>
  <c r="K184" i="8"/>
  <c r="J184" i="8"/>
  <c r="V183" i="8"/>
  <c r="U183" i="8"/>
  <c r="T183" i="8"/>
  <c r="S183" i="8"/>
  <c r="R183" i="8"/>
  <c r="Q183" i="8"/>
  <c r="P183" i="8"/>
  <c r="O183" i="8"/>
  <c r="N183" i="8"/>
  <c r="M183" i="8"/>
  <c r="L183" i="8"/>
  <c r="K183" i="8"/>
  <c r="J183" i="8"/>
  <c r="V182" i="8"/>
  <c r="U182" i="8"/>
  <c r="T182" i="8"/>
  <c r="S182" i="8"/>
  <c r="R182" i="8"/>
  <c r="Q182" i="8"/>
  <c r="P182" i="8"/>
  <c r="O182" i="8"/>
  <c r="N182" i="8"/>
  <c r="M182" i="8"/>
  <c r="L182" i="8"/>
  <c r="K182" i="8"/>
  <c r="J182" i="8"/>
  <c r="V181" i="8"/>
  <c r="U181" i="8"/>
  <c r="T181" i="8"/>
  <c r="S181" i="8"/>
  <c r="R181" i="8"/>
  <c r="Q181" i="8"/>
  <c r="P181" i="8"/>
  <c r="O181" i="8"/>
  <c r="N181" i="8"/>
  <c r="M181" i="8"/>
  <c r="L181" i="8"/>
  <c r="K181" i="8"/>
  <c r="J181" i="8"/>
  <c r="V180" i="8"/>
  <c r="U180" i="8"/>
  <c r="T180" i="8"/>
  <c r="S180" i="8"/>
  <c r="R180" i="8"/>
  <c r="Q180" i="8"/>
  <c r="P180" i="8"/>
  <c r="O180" i="8"/>
  <c r="N180" i="8"/>
  <c r="M180" i="8"/>
  <c r="L180" i="8"/>
  <c r="K180" i="8"/>
  <c r="J180" i="8"/>
  <c r="V179" i="8"/>
  <c r="U179" i="8"/>
  <c r="T179" i="8"/>
  <c r="S179" i="8"/>
  <c r="R179" i="8"/>
  <c r="Q179" i="8"/>
  <c r="P179" i="8"/>
  <c r="O179" i="8"/>
  <c r="N179" i="8"/>
  <c r="M179" i="8"/>
  <c r="L179" i="8"/>
  <c r="K179" i="8"/>
  <c r="J179" i="8"/>
  <c r="V178" i="8"/>
  <c r="U178" i="8"/>
  <c r="T178" i="8"/>
  <c r="S178" i="8"/>
  <c r="R178" i="8"/>
  <c r="Q178" i="8"/>
  <c r="P178" i="8"/>
  <c r="O178" i="8"/>
  <c r="N178" i="8"/>
  <c r="M178" i="8"/>
  <c r="L178" i="8"/>
  <c r="K178" i="8"/>
  <c r="J178" i="8"/>
  <c r="V177" i="8"/>
  <c r="U177" i="8"/>
  <c r="T177" i="8"/>
  <c r="S177" i="8"/>
  <c r="R177" i="8"/>
  <c r="Q177" i="8"/>
  <c r="P177" i="8"/>
  <c r="O177" i="8"/>
  <c r="N177" i="8"/>
  <c r="M177" i="8"/>
  <c r="L177" i="8"/>
  <c r="K177" i="8"/>
  <c r="J177" i="8"/>
  <c r="V176" i="8"/>
  <c r="U176" i="8"/>
  <c r="T176" i="8"/>
  <c r="S176" i="8"/>
  <c r="R176" i="8"/>
  <c r="Q176" i="8"/>
  <c r="P176" i="8"/>
  <c r="O176" i="8"/>
  <c r="N176" i="8"/>
  <c r="M176" i="8"/>
  <c r="L176" i="8"/>
  <c r="K176" i="8"/>
  <c r="J176" i="8"/>
  <c r="V175" i="8"/>
  <c r="U175" i="8"/>
  <c r="T175" i="8"/>
  <c r="S175" i="8"/>
  <c r="R175" i="8"/>
  <c r="Q175" i="8"/>
  <c r="P175" i="8"/>
  <c r="O175" i="8"/>
  <c r="N175" i="8"/>
  <c r="M175" i="8"/>
  <c r="L175" i="8"/>
  <c r="K175" i="8"/>
  <c r="J175" i="8"/>
  <c r="V174" i="8"/>
  <c r="U174" i="8"/>
  <c r="T174" i="8"/>
  <c r="S174" i="8"/>
  <c r="R174" i="8"/>
  <c r="Q174" i="8"/>
  <c r="P174" i="8"/>
  <c r="O174" i="8"/>
  <c r="N174" i="8"/>
  <c r="M174" i="8"/>
  <c r="L174" i="8"/>
  <c r="K174" i="8"/>
  <c r="J174" i="8"/>
  <c r="V173" i="8"/>
  <c r="U173" i="8"/>
  <c r="T173" i="8"/>
  <c r="S173" i="8"/>
  <c r="R173" i="8"/>
  <c r="Q173" i="8"/>
  <c r="P173" i="8"/>
  <c r="O173" i="8"/>
  <c r="N173" i="8"/>
  <c r="M173" i="8"/>
  <c r="L173" i="8"/>
  <c r="K173" i="8"/>
  <c r="J173" i="8"/>
  <c r="V172" i="8"/>
  <c r="U172" i="8"/>
  <c r="T172" i="8"/>
  <c r="S172" i="8"/>
  <c r="R172" i="8"/>
  <c r="Q172" i="8"/>
  <c r="P172" i="8"/>
  <c r="O172" i="8"/>
  <c r="N172" i="8"/>
  <c r="M172" i="8"/>
  <c r="L172" i="8"/>
  <c r="K172" i="8"/>
  <c r="J172" i="8"/>
  <c r="V171" i="8"/>
  <c r="U171" i="8"/>
  <c r="T171" i="8"/>
  <c r="S171" i="8"/>
  <c r="R171" i="8"/>
  <c r="Q171" i="8"/>
  <c r="P171" i="8"/>
  <c r="O171" i="8"/>
  <c r="N171" i="8"/>
  <c r="M171" i="8"/>
  <c r="L171" i="8"/>
  <c r="K171" i="8"/>
  <c r="J171" i="8"/>
  <c r="V170" i="8"/>
  <c r="U170" i="8"/>
  <c r="T170" i="8"/>
  <c r="S170" i="8"/>
  <c r="R170" i="8"/>
  <c r="Q170" i="8"/>
  <c r="P170" i="8"/>
  <c r="O170" i="8"/>
  <c r="N170" i="8"/>
  <c r="M170" i="8"/>
  <c r="L170" i="8"/>
  <c r="K170" i="8"/>
  <c r="J170" i="8"/>
  <c r="V169" i="8"/>
  <c r="U169" i="8"/>
  <c r="T169" i="8"/>
  <c r="S169" i="8"/>
  <c r="R169" i="8"/>
  <c r="Q169" i="8"/>
  <c r="P169" i="8"/>
  <c r="O169" i="8"/>
  <c r="N169" i="8"/>
  <c r="M169" i="8"/>
  <c r="L169" i="8"/>
  <c r="K169" i="8"/>
  <c r="J169" i="8"/>
  <c r="V168" i="8"/>
  <c r="U168" i="8"/>
  <c r="T168" i="8"/>
  <c r="S168" i="8"/>
  <c r="R168" i="8"/>
  <c r="Q168" i="8"/>
  <c r="P168" i="8"/>
  <c r="O168" i="8"/>
  <c r="N168" i="8"/>
  <c r="M168" i="8"/>
  <c r="L168" i="8"/>
  <c r="K168" i="8"/>
  <c r="J168" i="8"/>
  <c r="V167" i="8"/>
  <c r="U167" i="8"/>
  <c r="T167" i="8"/>
  <c r="S167" i="8"/>
  <c r="R167" i="8"/>
  <c r="Q167" i="8"/>
  <c r="P167" i="8"/>
  <c r="O167" i="8"/>
  <c r="N167" i="8"/>
  <c r="M167" i="8"/>
  <c r="L167" i="8"/>
  <c r="K167" i="8"/>
  <c r="J167" i="8"/>
  <c r="V166" i="8"/>
  <c r="U166" i="8"/>
  <c r="T166" i="8"/>
  <c r="S166" i="8"/>
  <c r="R166" i="8"/>
  <c r="Q166" i="8"/>
  <c r="P166" i="8"/>
  <c r="O166" i="8"/>
  <c r="N166" i="8"/>
  <c r="M166" i="8"/>
  <c r="L166" i="8"/>
  <c r="K166" i="8"/>
  <c r="J166" i="8"/>
  <c r="V165" i="8"/>
  <c r="U165" i="8"/>
  <c r="T165" i="8"/>
  <c r="S165" i="8"/>
  <c r="R165" i="8"/>
  <c r="Q165" i="8"/>
  <c r="P165" i="8"/>
  <c r="O165" i="8"/>
  <c r="N165" i="8"/>
  <c r="M165" i="8"/>
  <c r="L165" i="8"/>
  <c r="K165" i="8"/>
  <c r="J165" i="8"/>
  <c r="V164" i="8"/>
  <c r="U164" i="8"/>
  <c r="T164" i="8"/>
  <c r="S164" i="8"/>
  <c r="R164" i="8"/>
  <c r="Q164" i="8"/>
  <c r="P164" i="8"/>
  <c r="O164" i="8"/>
  <c r="N164" i="8"/>
  <c r="M164" i="8"/>
  <c r="L164" i="8"/>
  <c r="K164" i="8"/>
  <c r="J164" i="8"/>
  <c r="V163" i="8"/>
  <c r="U163" i="8"/>
  <c r="T163" i="8"/>
  <c r="S163" i="8"/>
  <c r="R163" i="8"/>
  <c r="Q163" i="8"/>
  <c r="P163" i="8"/>
  <c r="O163" i="8"/>
  <c r="N163" i="8"/>
  <c r="M163" i="8"/>
  <c r="L163" i="8"/>
  <c r="K163" i="8"/>
  <c r="J163" i="8"/>
  <c r="V162" i="8"/>
  <c r="U162" i="8"/>
  <c r="T162" i="8"/>
  <c r="S162" i="8"/>
  <c r="R162" i="8"/>
  <c r="Q162" i="8"/>
  <c r="P162" i="8"/>
  <c r="O162" i="8"/>
  <c r="N162" i="8"/>
  <c r="M162" i="8"/>
  <c r="L162" i="8"/>
  <c r="K162" i="8"/>
  <c r="J162" i="8"/>
  <c r="V161" i="8"/>
  <c r="U161" i="8"/>
  <c r="T161" i="8"/>
  <c r="S161" i="8"/>
  <c r="R161" i="8"/>
  <c r="Q161" i="8"/>
  <c r="P161" i="8"/>
  <c r="O161" i="8"/>
  <c r="N161" i="8"/>
  <c r="M161" i="8"/>
  <c r="L161" i="8"/>
  <c r="K161" i="8"/>
  <c r="J161" i="8"/>
  <c r="V160" i="8"/>
  <c r="U160" i="8"/>
  <c r="T160" i="8"/>
  <c r="S160" i="8"/>
  <c r="R160" i="8"/>
  <c r="Q160" i="8"/>
  <c r="P160" i="8"/>
  <c r="O160" i="8"/>
  <c r="N160" i="8"/>
  <c r="M160" i="8"/>
  <c r="L160" i="8"/>
  <c r="K160" i="8"/>
  <c r="J160" i="8"/>
  <c r="V159" i="8"/>
  <c r="U159" i="8"/>
  <c r="T159" i="8"/>
  <c r="S159" i="8"/>
  <c r="R159" i="8"/>
  <c r="Q159" i="8"/>
  <c r="P159" i="8"/>
  <c r="O159" i="8"/>
  <c r="N159" i="8"/>
  <c r="M159" i="8"/>
  <c r="L159" i="8"/>
  <c r="K159" i="8"/>
  <c r="J159" i="8"/>
  <c r="V158" i="8"/>
  <c r="U158" i="8"/>
  <c r="T158" i="8"/>
  <c r="S158" i="8"/>
  <c r="R158" i="8"/>
  <c r="Q158" i="8"/>
  <c r="P158" i="8"/>
  <c r="O158" i="8"/>
  <c r="N158" i="8"/>
  <c r="M158" i="8"/>
  <c r="L158" i="8"/>
  <c r="K158" i="8"/>
  <c r="J158" i="8"/>
  <c r="V157" i="8"/>
  <c r="U157" i="8"/>
  <c r="T157" i="8"/>
  <c r="S157" i="8"/>
  <c r="R157" i="8"/>
  <c r="Q157" i="8"/>
  <c r="P157" i="8"/>
  <c r="O157" i="8"/>
  <c r="N157" i="8"/>
  <c r="M157" i="8"/>
  <c r="L157" i="8"/>
  <c r="K157" i="8"/>
  <c r="J157" i="8"/>
  <c r="V156" i="8"/>
  <c r="U156" i="8"/>
  <c r="T156" i="8"/>
  <c r="S156" i="8"/>
  <c r="R156" i="8"/>
  <c r="Q156" i="8"/>
  <c r="P156" i="8"/>
  <c r="O156" i="8"/>
  <c r="N156" i="8"/>
  <c r="M156" i="8"/>
  <c r="L156" i="8"/>
  <c r="K156" i="8"/>
  <c r="J156" i="8"/>
  <c r="V155" i="8"/>
  <c r="U155" i="8"/>
  <c r="T155" i="8"/>
  <c r="S155" i="8"/>
  <c r="R155" i="8"/>
  <c r="Q155" i="8"/>
  <c r="P155" i="8"/>
  <c r="O155" i="8"/>
  <c r="N155" i="8"/>
  <c r="M155" i="8"/>
  <c r="L155" i="8"/>
  <c r="K155" i="8"/>
  <c r="J155" i="8"/>
  <c r="V154" i="8"/>
  <c r="U154" i="8"/>
  <c r="T154" i="8"/>
  <c r="S154" i="8"/>
  <c r="R154" i="8"/>
  <c r="Q154" i="8"/>
  <c r="P154" i="8"/>
  <c r="O154" i="8"/>
  <c r="N154" i="8"/>
  <c r="M154" i="8"/>
  <c r="L154" i="8"/>
  <c r="K154" i="8"/>
  <c r="J154" i="8"/>
  <c r="V153" i="8"/>
  <c r="U153" i="8"/>
  <c r="T153" i="8"/>
  <c r="S153" i="8"/>
  <c r="R153" i="8"/>
  <c r="Q153" i="8"/>
  <c r="P153" i="8"/>
  <c r="O153" i="8"/>
  <c r="N153" i="8"/>
  <c r="M153" i="8"/>
  <c r="L153" i="8"/>
  <c r="K153" i="8"/>
  <c r="J153" i="8"/>
  <c r="V152" i="8"/>
  <c r="U152" i="8"/>
  <c r="T152" i="8"/>
  <c r="S152" i="8"/>
  <c r="R152" i="8"/>
  <c r="Q152" i="8"/>
  <c r="P152" i="8"/>
  <c r="O152" i="8"/>
  <c r="N152" i="8"/>
  <c r="M152" i="8"/>
  <c r="L152" i="8"/>
  <c r="K152" i="8"/>
  <c r="J152" i="8"/>
  <c r="V151" i="8"/>
  <c r="U151" i="8"/>
  <c r="T151" i="8"/>
  <c r="S151" i="8"/>
  <c r="R151" i="8"/>
  <c r="Q151" i="8"/>
  <c r="P151" i="8"/>
  <c r="O151" i="8"/>
  <c r="N151" i="8"/>
  <c r="M151" i="8"/>
  <c r="L151" i="8"/>
  <c r="K151" i="8"/>
  <c r="J151" i="8"/>
  <c r="V150" i="8"/>
  <c r="U150" i="8"/>
  <c r="T150" i="8"/>
  <c r="S150" i="8"/>
  <c r="R150" i="8"/>
  <c r="Q150" i="8"/>
  <c r="P150" i="8"/>
  <c r="O150" i="8"/>
  <c r="N150" i="8"/>
  <c r="M150" i="8"/>
  <c r="L150" i="8"/>
  <c r="K150" i="8"/>
  <c r="J150" i="8"/>
  <c r="V149" i="8"/>
  <c r="U149" i="8"/>
  <c r="T149" i="8"/>
  <c r="S149" i="8"/>
  <c r="R149" i="8"/>
  <c r="Q149" i="8"/>
  <c r="P149" i="8"/>
  <c r="O149" i="8"/>
  <c r="N149" i="8"/>
  <c r="M149" i="8"/>
  <c r="L149" i="8"/>
  <c r="K149" i="8"/>
  <c r="J149" i="8"/>
  <c r="V148" i="8"/>
  <c r="U148" i="8"/>
  <c r="T148" i="8"/>
  <c r="S148" i="8"/>
  <c r="R148" i="8"/>
  <c r="Q148" i="8"/>
  <c r="P148" i="8"/>
  <c r="O148" i="8"/>
  <c r="N148" i="8"/>
  <c r="M148" i="8"/>
  <c r="L148" i="8"/>
  <c r="K148" i="8"/>
  <c r="J148" i="8"/>
  <c r="V147" i="8"/>
  <c r="U147" i="8"/>
  <c r="T147" i="8"/>
  <c r="S147" i="8"/>
  <c r="R147" i="8"/>
  <c r="Q147" i="8"/>
  <c r="P147" i="8"/>
  <c r="O147" i="8"/>
  <c r="N147" i="8"/>
  <c r="M147" i="8"/>
  <c r="L147" i="8"/>
  <c r="K147" i="8"/>
  <c r="J147" i="8"/>
  <c r="V146" i="8"/>
  <c r="U146" i="8"/>
  <c r="T146" i="8"/>
  <c r="S146" i="8"/>
  <c r="R146" i="8"/>
  <c r="Q146" i="8"/>
  <c r="P146" i="8"/>
  <c r="O146" i="8"/>
  <c r="N146" i="8"/>
  <c r="M146" i="8"/>
  <c r="L146" i="8"/>
  <c r="K146" i="8"/>
  <c r="J146" i="8"/>
  <c r="V145" i="8"/>
  <c r="U145" i="8"/>
  <c r="T145" i="8"/>
  <c r="S145" i="8"/>
  <c r="R145" i="8"/>
  <c r="Q145" i="8"/>
  <c r="P145" i="8"/>
  <c r="O145" i="8"/>
  <c r="N145" i="8"/>
  <c r="M145" i="8"/>
  <c r="L145" i="8"/>
  <c r="K145" i="8"/>
  <c r="J145" i="8"/>
  <c r="V144" i="8"/>
  <c r="U144" i="8"/>
  <c r="T144" i="8"/>
  <c r="S144" i="8"/>
  <c r="R144" i="8"/>
  <c r="Q144" i="8"/>
  <c r="P144" i="8"/>
  <c r="O144" i="8"/>
  <c r="N144" i="8"/>
  <c r="M144" i="8"/>
  <c r="L144" i="8"/>
  <c r="K144" i="8"/>
  <c r="J144" i="8"/>
  <c r="V143" i="8"/>
  <c r="U143" i="8"/>
  <c r="T143" i="8"/>
  <c r="S143" i="8"/>
  <c r="R143" i="8"/>
  <c r="Q143" i="8"/>
  <c r="P143" i="8"/>
  <c r="O143" i="8"/>
  <c r="N143" i="8"/>
  <c r="M143" i="8"/>
  <c r="L143" i="8"/>
  <c r="K143" i="8"/>
  <c r="J143" i="8"/>
  <c r="V142" i="8"/>
  <c r="U142" i="8"/>
  <c r="T142" i="8"/>
  <c r="S142" i="8"/>
  <c r="R142" i="8"/>
  <c r="Q142" i="8"/>
  <c r="P142" i="8"/>
  <c r="O142" i="8"/>
  <c r="N142" i="8"/>
  <c r="M142" i="8"/>
  <c r="L142" i="8"/>
  <c r="K142" i="8"/>
  <c r="J142" i="8"/>
  <c r="V141" i="8"/>
  <c r="U141" i="8"/>
  <c r="T141" i="8"/>
  <c r="S141" i="8"/>
  <c r="R141" i="8"/>
  <c r="Q141" i="8"/>
  <c r="P141" i="8"/>
  <c r="O141" i="8"/>
  <c r="N141" i="8"/>
  <c r="M141" i="8"/>
  <c r="L141" i="8"/>
  <c r="K141" i="8"/>
  <c r="J141" i="8"/>
  <c r="V140" i="8"/>
  <c r="U140" i="8"/>
  <c r="T140" i="8"/>
  <c r="S140" i="8"/>
  <c r="R140" i="8"/>
  <c r="Q140" i="8"/>
  <c r="P140" i="8"/>
  <c r="O140" i="8"/>
  <c r="N140" i="8"/>
  <c r="M140" i="8"/>
  <c r="L140" i="8"/>
  <c r="K140" i="8"/>
  <c r="J140" i="8"/>
  <c r="V139" i="8"/>
  <c r="U139" i="8"/>
  <c r="T139" i="8"/>
  <c r="S139" i="8"/>
  <c r="R139" i="8"/>
  <c r="Q139" i="8"/>
  <c r="P139" i="8"/>
  <c r="O139" i="8"/>
  <c r="N139" i="8"/>
  <c r="M139" i="8"/>
  <c r="L139" i="8"/>
  <c r="K139" i="8"/>
  <c r="J139" i="8"/>
  <c r="V138" i="8"/>
  <c r="U138" i="8"/>
  <c r="T138" i="8"/>
  <c r="S138" i="8"/>
  <c r="R138" i="8"/>
  <c r="Q138" i="8"/>
  <c r="P138" i="8"/>
  <c r="O138" i="8"/>
  <c r="N138" i="8"/>
  <c r="M138" i="8"/>
  <c r="L138" i="8"/>
  <c r="K138" i="8"/>
  <c r="J138" i="8"/>
  <c r="V137" i="8"/>
  <c r="U137" i="8"/>
  <c r="T137" i="8"/>
  <c r="S137" i="8"/>
  <c r="R137" i="8"/>
  <c r="Q137" i="8"/>
  <c r="P137" i="8"/>
  <c r="O137" i="8"/>
  <c r="N137" i="8"/>
  <c r="M137" i="8"/>
  <c r="L137" i="8"/>
  <c r="K137" i="8"/>
  <c r="J137" i="8"/>
  <c r="V136" i="8"/>
  <c r="U136" i="8"/>
  <c r="T136" i="8"/>
  <c r="S136" i="8"/>
  <c r="R136" i="8"/>
  <c r="Q136" i="8"/>
  <c r="P136" i="8"/>
  <c r="O136" i="8"/>
  <c r="N136" i="8"/>
  <c r="M136" i="8"/>
  <c r="L136" i="8"/>
  <c r="K136" i="8"/>
  <c r="J136" i="8"/>
  <c r="V135" i="8"/>
  <c r="U135" i="8"/>
  <c r="T135" i="8"/>
  <c r="S135" i="8"/>
  <c r="R135" i="8"/>
  <c r="Q135" i="8"/>
  <c r="P135" i="8"/>
  <c r="O135" i="8"/>
  <c r="N135" i="8"/>
  <c r="M135" i="8"/>
  <c r="L135" i="8"/>
  <c r="K135" i="8"/>
  <c r="J135" i="8"/>
  <c r="V134" i="8"/>
  <c r="U134" i="8"/>
  <c r="T134" i="8"/>
  <c r="S134" i="8"/>
  <c r="R134" i="8"/>
  <c r="Q134" i="8"/>
  <c r="P134" i="8"/>
  <c r="O134" i="8"/>
  <c r="N134" i="8"/>
  <c r="M134" i="8"/>
  <c r="L134" i="8"/>
  <c r="K134" i="8"/>
  <c r="J134" i="8"/>
  <c r="V133" i="8"/>
  <c r="U133" i="8"/>
  <c r="T133" i="8"/>
  <c r="S133" i="8"/>
  <c r="R133" i="8"/>
  <c r="Q133" i="8"/>
  <c r="P133" i="8"/>
  <c r="O133" i="8"/>
  <c r="N133" i="8"/>
  <c r="M133" i="8"/>
  <c r="L133" i="8"/>
  <c r="K133" i="8"/>
  <c r="J133" i="8"/>
  <c r="V132" i="8"/>
  <c r="U132" i="8"/>
  <c r="T132" i="8"/>
  <c r="S132" i="8"/>
  <c r="R132" i="8"/>
  <c r="Q132" i="8"/>
  <c r="P132" i="8"/>
  <c r="O132" i="8"/>
  <c r="N132" i="8"/>
  <c r="M132" i="8"/>
  <c r="L132" i="8"/>
  <c r="K132" i="8"/>
  <c r="J132" i="8"/>
  <c r="V131" i="8"/>
  <c r="U131" i="8"/>
  <c r="T131" i="8"/>
  <c r="S131" i="8"/>
  <c r="R131" i="8"/>
  <c r="Q131" i="8"/>
  <c r="P131" i="8"/>
  <c r="O131" i="8"/>
  <c r="N131" i="8"/>
  <c r="M131" i="8"/>
  <c r="L131" i="8"/>
  <c r="K131" i="8"/>
  <c r="J131" i="8"/>
  <c r="V130" i="8"/>
  <c r="U130" i="8"/>
  <c r="T130" i="8"/>
  <c r="S130" i="8"/>
  <c r="R130" i="8"/>
  <c r="Q130" i="8"/>
  <c r="P130" i="8"/>
  <c r="O130" i="8"/>
  <c r="N130" i="8"/>
  <c r="M130" i="8"/>
  <c r="L130" i="8"/>
  <c r="K130" i="8"/>
  <c r="J130" i="8"/>
  <c r="V129" i="8"/>
  <c r="U129" i="8"/>
  <c r="T129" i="8"/>
  <c r="S129" i="8"/>
  <c r="R129" i="8"/>
  <c r="Q129" i="8"/>
  <c r="P129" i="8"/>
  <c r="O129" i="8"/>
  <c r="N129" i="8"/>
  <c r="M129" i="8"/>
  <c r="L129" i="8"/>
  <c r="K129" i="8"/>
  <c r="J129" i="8"/>
  <c r="V128" i="8"/>
  <c r="U128" i="8"/>
  <c r="T128" i="8"/>
  <c r="S128" i="8"/>
  <c r="R128" i="8"/>
  <c r="Q128" i="8"/>
  <c r="P128" i="8"/>
  <c r="O128" i="8"/>
  <c r="N128" i="8"/>
  <c r="M128" i="8"/>
  <c r="L128" i="8"/>
  <c r="K128" i="8"/>
  <c r="J128" i="8"/>
  <c r="V127" i="8"/>
  <c r="U127" i="8"/>
  <c r="T127" i="8"/>
  <c r="S127" i="8"/>
  <c r="R127" i="8"/>
  <c r="Q127" i="8"/>
  <c r="P127" i="8"/>
  <c r="O127" i="8"/>
  <c r="N127" i="8"/>
  <c r="M127" i="8"/>
  <c r="L127" i="8"/>
  <c r="K127" i="8"/>
  <c r="J127" i="8"/>
  <c r="V126" i="8"/>
  <c r="U126" i="8"/>
  <c r="T126" i="8"/>
  <c r="S126" i="8"/>
  <c r="R126" i="8"/>
  <c r="Q126" i="8"/>
  <c r="P126" i="8"/>
  <c r="O126" i="8"/>
  <c r="N126" i="8"/>
  <c r="M126" i="8"/>
  <c r="L126" i="8"/>
  <c r="K126" i="8"/>
  <c r="J126" i="8"/>
  <c r="V125" i="8"/>
  <c r="U125" i="8"/>
  <c r="T125" i="8"/>
  <c r="S125" i="8"/>
  <c r="R125" i="8"/>
  <c r="Q125" i="8"/>
  <c r="P125" i="8"/>
  <c r="O125" i="8"/>
  <c r="N125" i="8"/>
  <c r="M125" i="8"/>
  <c r="L125" i="8"/>
  <c r="K125" i="8"/>
  <c r="J125" i="8"/>
  <c r="V124" i="8"/>
  <c r="U124" i="8"/>
  <c r="T124" i="8"/>
  <c r="S124" i="8"/>
  <c r="R124" i="8"/>
  <c r="Q124" i="8"/>
  <c r="P124" i="8"/>
  <c r="O124" i="8"/>
  <c r="N124" i="8"/>
  <c r="M124" i="8"/>
  <c r="L124" i="8"/>
  <c r="K124" i="8"/>
  <c r="J124" i="8"/>
  <c r="V123" i="8"/>
  <c r="U123" i="8"/>
  <c r="T123" i="8"/>
  <c r="S123" i="8"/>
  <c r="R123" i="8"/>
  <c r="Q123" i="8"/>
  <c r="P123" i="8"/>
  <c r="O123" i="8"/>
  <c r="N123" i="8"/>
  <c r="M123" i="8"/>
  <c r="L123" i="8"/>
  <c r="K123" i="8"/>
  <c r="J123" i="8"/>
  <c r="V122" i="8"/>
  <c r="U122" i="8"/>
  <c r="T122" i="8"/>
  <c r="S122" i="8"/>
  <c r="R122" i="8"/>
  <c r="Q122" i="8"/>
  <c r="P122" i="8"/>
  <c r="O122" i="8"/>
  <c r="N122" i="8"/>
  <c r="M122" i="8"/>
  <c r="L122" i="8"/>
  <c r="K122" i="8"/>
  <c r="J122" i="8"/>
  <c r="V121" i="8"/>
  <c r="U121" i="8"/>
  <c r="T121" i="8"/>
  <c r="S121" i="8"/>
  <c r="R121" i="8"/>
  <c r="Q121" i="8"/>
  <c r="P121" i="8"/>
  <c r="O121" i="8"/>
  <c r="N121" i="8"/>
  <c r="M121" i="8"/>
  <c r="L121" i="8"/>
  <c r="K121" i="8"/>
  <c r="J121" i="8"/>
  <c r="V120" i="8"/>
  <c r="U120" i="8"/>
  <c r="T120" i="8"/>
  <c r="S120" i="8"/>
  <c r="R120" i="8"/>
  <c r="Q120" i="8"/>
  <c r="P120" i="8"/>
  <c r="O120" i="8"/>
  <c r="N120" i="8"/>
  <c r="M120" i="8"/>
  <c r="L120" i="8"/>
  <c r="K120" i="8"/>
  <c r="J120" i="8"/>
  <c r="V119" i="8"/>
  <c r="U119" i="8"/>
  <c r="T119" i="8"/>
  <c r="S119" i="8"/>
  <c r="R119" i="8"/>
  <c r="Q119" i="8"/>
  <c r="P119" i="8"/>
  <c r="O119" i="8"/>
  <c r="N119" i="8"/>
  <c r="M119" i="8"/>
  <c r="L119" i="8"/>
  <c r="K119" i="8"/>
  <c r="J119" i="8"/>
  <c r="V118" i="8"/>
  <c r="U118" i="8"/>
  <c r="T118" i="8"/>
  <c r="S118" i="8"/>
  <c r="R118" i="8"/>
  <c r="Q118" i="8"/>
  <c r="P118" i="8"/>
  <c r="O118" i="8"/>
  <c r="N118" i="8"/>
  <c r="M118" i="8"/>
  <c r="L118" i="8"/>
  <c r="K118" i="8"/>
  <c r="J118" i="8"/>
  <c r="V117" i="8"/>
  <c r="U117" i="8"/>
  <c r="T117" i="8"/>
  <c r="S117" i="8"/>
  <c r="R117" i="8"/>
  <c r="Q117" i="8"/>
  <c r="P117" i="8"/>
  <c r="O117" i="8"/>
  <c r="N117" i="8"/>
  <c r="M117" i="8"/>
  <c r="L117" i="8"/>
  <c r="K117" i="8"/>
  <c r="J117" i="8"/>
  <c r="V116" i="8"/>
  <c r="U116" i="8"/>
  <c r="T116" i="8"/>
  <c r="S116" i="8"/>
  <c r="R116" i="8"/>
  <c r="Q116" i="8"/>
  <c r="P116" i="8"/>
  <c r="O116" i="8"/>
  <c r="N116" i="8"/>
  <c r="M116" i="8"/>
  <c r="L116" i="8"/>
  <c r="K116" i="8"/>
  <c r="J116" i="8"/>
  <c r="V115" i="8"/>
  <c r="U115" i="8"/>
  <c r="T115" i="8"/>
  <c r="S115" i="8"/>
  <c r="R115" i="8"/>
  <c r="Q115" i="8"/>
  <c r="P115" i="8"/>
  <c r="O115" i="8"/>
  <c r="N115" i="8"/>
  <c r="M115" i="8"/>
  <c r="L115" i="8"/>
  <c r="K115" i="8"/>
  <c r="J115" i="8"/>
  <c r="V114" i="8"/>
  <c r="U114" i="8"/>
  <c r="T114" i="8"/>
  <c r="S114" i="8"/>
  <c r="R114" i="8"/>
  <c r="Q114" i="8"/>
  <c r="P114" i="8"/>
  <c r="O114" i="8"/>
  <c r="N114" i="8"/>
  <c r="M114" i="8"/>
  <c r="L114" i="8"/>
  <c r="K114" i="8"/>
  <c r="J114" i="8"/>
  <c r="V113" i="8"/>
  <c r="U113" i="8"/>
  <c r="T113" i="8"/>
  <c r="S113" i="8"/>
  <c r="R113" i="8"/>
  <c r="Q113" i="8"/>
  <c r="P113" i="8"/>
  <c r="O113" i="8"/>
  <c r="N113" i="8"/>
  <c r="M113" i="8"/>
  <c r="L113" i="8"/>
  <c r="K113" i="8"/>
  <c r="J113" i="8"/>
  <c r="V112" i="8"/>
  <c r="U112" i="8"/>
  <c r="T112" i="8"/>
  <c r="S112" i="8"/>
  <c r="R112" i="8"/>
  <c r="Q112" i="8"/>
  <c r="P112" i="8"/>
  <c r="O112" i="8"/>
  <c r="N112" i="8"/>
  <c r="M112" i="8"/>
  <c r="L112" i="8"/>
  <c r="K112" i="8"/>
  <c r="J112" i="8"/>
  <c r="V111" i="8"/>
  <c r="U111" i="8"/>
  <c r="T111" i="8"/>
  <c r="S111" i="8"/>
  <c r="R111" i="8"/>
  <c r="Q111" i="8"/>
  <c r="P111" i="8"/>
  <c r="O111" i="8"/>
  <c r="N111" i="8"/>
  <c r="M111" i="8"/>
  <c r="L111" i="8"/>
  <c r="K111" i="8"/>
  <c r="J111" i="8"/>
  <c r="V110" i="8"/>
  <c r="U110" i="8"/>
  <c r="T110" i="8"/>
  <c r="S110" i="8"/>
  <c r="R110" i="8"/>
  <c r="Q110" i="8"/>
  <c r="P110" i="8"/>
  <c r="O110" i="8"/>
  <c r="N110" i="8"/>
  <c r="M110" i="8"/>
  <c r="L110" i="8"/>
  <c r="K110" i="8"/>
  <c r="J110" i="8"/>
  <c r="V109" i="8"/>
  <c r="U109" i="8"/>
  <c r="T109" i="8"/>
  <c r="S109" i="8"/>
  <c r="R109" i="8"/>
  <c r="Q109" i="8"/>
  <c r="P109" i="8"/>
  <c r="O109" i="8"/>
  <c r="N109" i="8"/>
  <c r="M109" i="8"/>
  <c r="L109" i="8"/>
  <c r="K109" i="8"/>
  <c r="J109" i="8"/>
  <c r="V108" i="8"/>
  <c r="U108" i="8"/>
  <c r="T108" i="8"/>
  <c r="S108" i="8"/>
  <c r="R108" i="8"/>
  <c r="Q108" i="8"/>
  <c r="P108" i="8"/>
  <c r="O108" i="8"/>
  <c r="N108" i="8"/>
  <c r="M108" i="8"/>
  <c r="L108" i="8"/>
  <c r="K108" i="8"/>
  <c r="J108" i="8"/>
  <c r="V107" i="8"/>
  <c r="U107" i="8"/>
  <c r="T107" i="8"/>
  <c r="S107" i="8"/>
  <c r="R107" i="8"/>
  <c r="Q107" i="8"/>
  <c r="P107" i="8"/>
  <c r="O107" i="8"/>
  <c r="N107" i="8"/>
  <c r="M107" i="8"/>
  <c r="L107" i="8"/>
  <c r="K107" i="8"/>
  <c r="J107" i="8"/>
  <c r="V106" i="8"/>
  <c r="U106" i="8"/>
  <c r="T106" i="8"/>
  <c r="S106" i="8"/>
  <c r="R106" i="8"/>
  <c r="Q106" i="8"/>
  <c r="P106" i="8"/>
  <c r="O106" i="8"/>
  <c r="N106" i="8"/>
  <c r="M106" i="8"/>
  <c r="L106" i="8"/>
  <c r="K106" i="8"/>
  <c r="J106" i="8"/>
  <c r="V105" i="8"/>
  <c r="U105" i="8"/>
  <c r="T105" i="8"/>
  <c r="S105" i="8"/>
  <c r="R105" i="8"/>
  <c r="Q105" i="8"/>
  <c r="P105" i="8"/>
  <c r="O105" i="8"/>
  <c r="N105" i="8"/>
  <c r="M105" i="8"/>
  <c r="L105" i="8"/>
  <c r="K105" i="8"/>
  <c r="J105" i="8"/>
  <c r="V104" i="8"/>
  <c r="U104" i="8"/>
  <c r="T104" i="8"/>
  <c r="S104" i="8"/>
  <c r="R104" i="8"/>
  <c r="Q104" i="8"/>
  <c r="P104" i="8"/>
  <c r="O104" i="8"/>
  <c r="N104" i="8"/>
  <c r="M104" i="8"/>
  <c r="L104" i="8"/>
  <c r="K104" i="8"/>
  <c r="J104" i="8"/>
  <c r="V103" i="8"/>
  <c r="U103" i="8"/>
  <c r="T103" i="8"/>
  <c r="S103" i="8"/>
  <c r="R103" i="8"/>
  <c r="Q103" i="8"/>
  <c r="P103" i="8"/>
  <c r="O103" i="8"/>
  <c r="N103" i="8"/>
  <c r="M103" i="8"/>
  <c r="L103" i="8"/>
  <c r="K103" i="8"/>
  <c r="J103" i="8"/>
  <c r="V102" i="8"/>
  <c r="U102" i="8"/>
  <c r="T102" i="8"/>
  <c r="S102" i="8"/>
  <c r="R102" i="8"/>
  <c r="Q102" i="8"/>
  <c r="P102" i="8"/>
  <c r="O102" i="8"/>
  <c r="N102" i="8"/>
  <c r="M102" i="8"/>
  <c r="L102" i="8"/>
  <c r="K102" i="8"/>
  <c r="J102" i="8"/>
  <c r="V101" i="8"/>
  <c r="U101" i="8"/>
  <c r="T101" i="8"/>
  <c r="S101" i="8"/>
  <c r="R101" i="8"/>
  <c r="Q101" i="8"/>
  <c r="P101" i="8"/>
  <c r="O101" i="8"/>
  <c r="N101" i="8"/>
  <c r="M101" i="8"/>
  <c r="L101" i="8"/>
  <c r="K101" i="8"/>
  <c r="J101" i="8"/>
  <c r="V100" i="8"/>
  <c r="U100" i="8"/>
  <c r="T100" i="8"/>
  <c r="S100" i="8"/>
  <c r="R100" i="8"/>
  <c r="Q100" i="8"/>
  <c r="P100" i="8"/>
  <c r="O100" i="8"/>
  <c r="N100" i="8"/>
  <c r="M100" i="8"/>
  <c r="L100" i="8"/>
  <c r="K100" i="8"/>
  <c r="J100" i="8"/>
  <c r="V99" i="8"/>
  <c r="U99" i="8"/>
  <c r="T99" i="8"/>
  <c r="S99" i="8"/>
  <c r="R99" i="8"/>
  <c r="Q99" i="8"/>
  <c r="P99" i="8"/>
  <c r="O99" i="8"/>
  <c r="N99" i="8"/>
  <c r="M99" i="8"/>
  <c r="L99" i="8"/>
  <c r="K99" i="8"/>
  <c r="J99" i="8"/>
  <c r="V98" i="8"/>
  <c r="U98" i="8"/>
  <c r="T98" i="8"/>
  <c r="S98" i="8"/>
  <c r="R98" i="8"/>
  <c r="Q98" i="8"/>
  <c r="P98" i="8"/>
  <c r="O98" i="8"/>
  <c r="N98" i="8"/>
  <c r="M98" i="8"/>
  <c r="L98" i="8"/>
  <c r="K98" i="8"/>
  <c r="J98" i="8"/>
  <c r="V97" i="8"/>
  <c r="U97" i="8"/>
  <c r="T97" i="8"/>
  <c r="S97" i="8"/>
  <c r="R97" i="8"/>
  <c r="Q97" i="8"/>
  <c r="P97" i="8"/>
  <c r="O97" i="8"/>
  <c r="N97" i="8"/>
  <c r="M97" i="8"/>
  <c r="L97" i="8"/>
  <c r="K97" i="8"/>
  <c r="J97" i="8"/>
  <c r="V96" i="8"/>
  <c r="U96" i="8"/>
  <c r="T96" i="8"/>
  <c r="S96" i="8"/>
  <c r="R96" i="8"/>
  <c r="Q96" i="8"/>
  <c r="P96" i="8"/>
  <c r="O96" i="8"/>
  <c r="N96" i="8"/>
  <c r="M96" i="8"/>
  <c r="L96" i="8"/>
  <c r="K96" i="8"/>
  <c r="J96" i="8"/>
  <c r="V95" i="8"/>
  <c r="U95" i="8"/>
  <c r="T95" i="8"/>
  <c r="S95" i="8"/>
  <c r="R95" i="8"/>
  <c r="Q95" i="8"/>
  <c r="P95" i="8"/>
  <c r="O95" i="8"/>
  <c r="N95" i="8"/>
  <c r="M95" i="8"/>
  <c r="L95" i="8"/>
  <c r="K95" i="8"/>
  <c r="J95" i="8"/>
  <c r="V94" i="8"/>
  <c r="U94" i="8"/>
  <c r="T94" i="8"/>
  <c r="S94" i="8"/>
  <c r="R94" i="8"/>
  <c r="Q94" i="8"/>
  <c r="P94" i="8"/>
  <c r="O94" i="8"/>
  <c r="N94" i="8"/>
  <c r="M94" i="8"/>
  <c r="L94" i="8"/>
  <c r="K94" i="8"/>
  <c r="J94" i="8"/>
  <c r="V93" i="8"/>
  <c r="U93" i="8"/>
  <c r="T93" i="8"/>
  <c r="S93" i="8"/>
  <c r="R93" i="8"/>
  <c r="Q93" i="8"/>
  <c r="P93" i="8"/>
  <c r="O93" i="8"/>
  <c r="N93" i="8"/>
  <c r="M93" i="8"/>
  <c r="L93" i="8"/>
  <c r="K93" i="8"/>
  <c r="J93" i="8"/>
  <c r="V92" i="8"/>
  <c r="U92" i="8"/>
  <c r="T92" i="8"/>
  <c r="S92" i="8"/>
  <c r="R92" i="8"/>
  <c r="Q92" i="8"/>
  <c r="P92" i="8"/>
  <c r="O92" i="8"/>
  <c r="N92" i="8"/>
  <c r="M92" i="8"/>
  <c r="L92" i="8"/>
  <c r="K92" i="8"/>
  <c r="J92" i="8"/>
  <c r="V91" i="8"/>
  <c r="U91" i="8"/>
  <c r="T91" i="8"/>
  <c r="S91" i="8"/>
  <c r="R91" i="8"/>
  <c r="Q91" i="8"/>
  <c r="P91" i="8"/>
  <c r="O91" i="8"/>
  <c r="N91" i="8"/>
  <c r="M91" i="8"/>
  <c r="L91" i="8"/>
  <c r="K91" i="8"/>
  <c r="J91" i="8"/>
  <c r="V90" i="8"/>
  <c r="U90" i="8"/>
  <c r="T90" i="8"/>
  <c r="S90" i="8"/>
  <c r="R90" i="8"/>
  <c r="Q90" i="8"/>
  <c r="P90" i="8"/>
  <c r="O90" i="8"/>
  <c r="N90" i="8"/>
  <c r="M90" i="8"/>
  <c r="L90" i="8"/>
  <c r="K90" i="8"/>
  <c r="J90" i="8"/>
  <c r="V89" i="8"/>
  <c r="U89" i="8"/>
  <c r="T89" i="8"/>
  <c r="S89" i="8"/>
  <c r="R89" i="8"/>
  <c r="Q89" i="8"/>
  <c r="P89" i="8"/>
  <c r="O89" i="8"/>
  <c r="N89" i="8"/>
  <c r="M89" i="8"/>
  <c r="L89" i="8"/>
  <c r="K89" i="8"/>
  <c r="J89" i="8"/>
  <c r="V88" i="8"/>
  <c r="U88" i="8"/>
  <c r="T88" i="8"/>
  <c r="S88" i="8"/>
  <c r="R88" i="8"/>
  <c r="Q88" i="8"/>
  <c r="P88" i="8"/>
  <c r="O88" i="8"/>
  <c r="N88" i="8"/>
  <c r="M88" i="8"/>
  <c r="L88" i="8"/>
  <c r="K88" i="8"/>
  <c r="J88" i="8"/>
  <c r="V87" i="8"/>
  <c r="U87" i="8"/>
  <c r="T87" i="8"/>
  <c r="S87" i="8"/>
  <c r="R87" i="8"/>
  <c r="Q87" i="8"/>
  <c r="P87" i="8"/>
  <c r="O87" i="8"/>
  <c r="N87" i="8"/>
  <c r="M87" i="8"/>
  <c r="L87" i="8"/>
  <c r="K87" i="8"/>
  <c r="J87" i="8"/>
  <c r="V86" i="8"/>
  <c r="U86" i="8"/>
  <c r="T86" i="8"/>
  <c r="S86" i="8"/>
  <c r="R86" i="8"/>
  <c r="Q86" i="8"/>
  <c r="P86" i="8"/>
  <c r="O86" i="8"/>
  <c r="N86" i="8"/>
  <c r="M86" i="8"/>
  <c r="L86" i="8"/>
  <c r="K86" i="8"/>
  <c r="J86" i="8"/>
  <c r="V85" i="8"/>
  <c r="U85" i="8"/>
  <c r="T85" i="8"/>
  <c r="S85" i="8"/>
  <c r="R85" i="8"/>
  <c r="Q85" i="8"/>
  <c r="P85" i="8"/>
  <c r="O85" i="8"/>
  <c r="N85" i="8"/>
  <c r="M85" i="8"/>
  <c r="L85" i="8"/>
  <c r="K85" i="8"/>
  <c r="J85" i="8"/>
  <c r="V84" i="8"/>
  <c r="U84" i="8"/>
  <c r="T84" i="8"/>
  <c r="S84" i="8"/>
  <c r="R84" i="8"/>
  <c r="Q84" i="8"/>
  <c r="P84" i="8"/>
  <c r="O84" i="8"/>
  <c r="N84" i="8"/>
  <c r="M84" i="8"/>
  <c r="L84" i="8"/>
  <c r="K84" i="8"/>
  <c r="J84" i="8"/>
  <c r="V83" i="8"/>
  <c r="U83" i="8"/>
  <c r="T83" i="8"/>
  <c r="S83" i="8"/>
  <c r="R83" i="8"/>
  <c r="Q83" i="8"/>
  <c r="P83" i="8"/>
  <c r="O83" i="8"/>
  <c r="N83" i="8"/>
  <c r="M83" i="8"/>
  <c r="L83" i="8"/>
  <c r="K83" i="8"/>
  <c r="J83" i="8"/>
  <c r="V82" i="8"/>
  <c r="U82" i="8"/>
  <c r="T82" i="8"/>
  <c r="S82" i="8"/>
  <c r="R82" i="8"/>
  <c r="Q82" i="8"/>
  <c r="P82" i="8"/>
  <c r="O82" i="8"/>
  <c r="N82" i="8"/>
  <c r="M82" i="8"/>
  <c r="L82" i="8"/>
  <c r="K82" i="8"/>
  <c r="J82" i="8"/>
  <c r="V81" i="8"/>
  <c r="U81" i="8"/>
  <c r="T81" i="8"/>
  <c r="S81" i="8"/>
  <c r="R81" i="8"/>
  <c r="Q81" i="8"/>
  <c r="P81" i="8"/>
  <c r="O81" i="8"/>
  <c r="N81" i="8"/>
  <c r="M81" i="8"/>
  <c r="L81" i="8"/>
  <c r="K81" i="8"/>
  <c r="J81" i="8"/>
  <c r="V80" i="8"/>
  <c r="U80" i="8"/>
  <c r="T80" i="8"/>
  <c r="S80" i="8"/>
  <c r="R80" i="8"/>
  <c r="Q80" i="8"/>
  <c r="P80" i="8"/>
  <c r="O80" i="8"/>
  <c r="N80" i="8"/>
  <c r="M80" i="8"/>
  <c r="L80" i="8"/>
  <c r="K80" i="8"/>
  <c r="J80" i="8"/>
  <c r="V79" i="8"/>
  <c r="U79" i="8"/>
  <c r="T79" i="8"/>
  <c r="S79" i="8"/>
  <c r="R79" i="8"/>
  <c r="Q79" i="8"/>
  <c r="P79" i="8"/>
  <c r="O79" i="8"/>
  <c r="N79" i="8"/>
  <c r="M79" i="8"/>
  <c r="L79" i="8"/>
  <c r="K79" i="8"/>
  <c r="J79" i="8"/>
  <c r="V78" i="8"/>
  <c r="U78" i="8"/>
  <c r="T78" i="8"/>
  <c r="S78" i="8"/>
  <c r="R78" i="8"/>
  <c r="Q78" i="8"/>
  <c r="P78" i="8"/>
  <c r="O78" i="8"/>
  <c r="N78" i="8"/>
  <c r="M78" i="8"/>
  <c r="L78" i="8"/>
  <c r="K78" i="8"/>
  <c r="J78" i="8"/>
  <c r="V77" i="8"/>
  <c r="U77" i="8"/>
  <c r="T77" i="8"/>
  <c r="S77" i="8"/>
  <c r="R77" i="8"/>
  <c r="Q77" i="8"/>
  <c r="P77" i="8"/>
  <c r="O77" i="8"/>
  <c r="N77" i="8"/>
  <c r="M77" i="8"/>
  <c r="L77" i="8"/>
  <c r="K77" i="8"/>
  <c r="J77" i="8"/>
  <c r="V76" i="8"/>
  <c r="U76" i="8"/>
  <c r="T76" i="8"/>
  <c r="S76" i="8"/>
  <c r="R76" i="8"/>
  <c r="Q76" i="8"/>
  <c r="P76" i="8"/>
  <c r="O76" i="8"/>
  <c r="N76" i="8"/>
  <c r="M76" i="8"/>
  <c r="L76" i="8"/>
  <c r="K76" i="8"/>
  <c r="J76" i="8"/>
  <c r="V75" i="8"/>
  <c r="U75" i="8"/>
  <c r="T75" i="8"/>
  <c r="S75" i="8"/>
  <c r="R75" i="8"/>
  <c r="Q75" i="8"/>
  <c r="P75" i="8"/>
  <c r="O75" i="8"/>
  <c r="N75" i="8"/>
  <c r="M75" i="8"/>
  <c r="L75" i="8"/>
  <c r="K75" i="8"/>
  <c r="J75" i="8"/>
  <c r="V74" i="8"/>
  <c r="U74" i="8"/>
  <c r="T74" i="8"/>
  <c r="S74" i="8"/>
  <c r="R74" i="8"/>
  <c r="Q74" i="8"/>
  <c r="P74" i="8"/>
  <c r="O74" i="8"/>
  <c r="N74" i="8"/>
  <c r="M74" i="8"/>
  <c r="L74" i="8"/>
  <c r="K74" i="8"/>
  <c r="J74" i="8"/>
  <c r="V73" i="8"/>
  <c r="U73" i="8"/>
  <c r="T73" i="8"/>
  <c r="S73" i="8"/>
  <c r="R73" i="8"/>
  <c r="Q73" i="8"/>
  <c r="P73" i="8"/>
  <c r="O73" i="8"/>
  <c r="N73" i="8"/>
  <c r="M73" i="8"/>
  <c r="L73" i="8"/>
  <c r="K73" i="8"/>
  <c r="J73" i="8"/>
  <c r="V72" i="8"/>
  <c r="U72" i="8"/>
  <c r="T72" i="8"/>
  <c r="S72" i="8"/>
  <c r="R72" i="8"/>
  <c r="Q72" i="8"/>
  <c r="P72" i="8"/>
  <c r="O72" i="8"/>
  <c r="N72" i="8"/>
  <c r="M72" i="8"/>
  <c r="L72" i="8"/>
  <c r="K72" i="8"/>
  <c r="J72" i="8"/>
  <c r="V71" i="8"/>
  <c r="U71" i="8"/>
  <c r="T71" i="8"/>
  <c r="S71" i="8"/>
  <c r="R71" i="8"/>
  <c r="Q71" i="8"/>
  <c r="P71" i="8"/>
  <c r="O71" i="8"/>
  <c r="N71" i="8"/>
  <c r="M71" i="8"/>
  <c r="L71" i="8"/>
  <c r="K71" i="8"/>
  <c r="J71" i="8"/>
  <c r="V70" i="8"/>
  <c r="U70" i="8"/>
  <c r="T70" i="8"/>
  <c r="S70" i="8"/>
  <c r="R70" i="8"/>
  <c r="Q70" i="8"/>
  <c r="P70" i="8"/>
  <c r="O70" i="8"/>
  <c r="N70" i="8"/>
  <c r="M70" i="8"/>
  <c r="L70" i="8"/>
  <c r="K70" i="8"/>
  <c r="J70" i="8"/>
  <c r="V69" i="8"/>
  <c r="U69" i="8"/>
  <c r="T69" i="8"/>
  <c r="S69" i="8"/>
  <c r="R69" i="8"/>
  <c r="Q69" i="8"/>
  <c r="P69" i="8"/>
  <c r="O69" i="8"/>
  <c r="N69" i="8"/>
  <c r="M69" i="8"/>
  <c r="L69" i="8"/>
  <c r="K69" i="8"/>
  <c r="J69" i="8"/>
  <c r="V68" i="8"/>
  <c r="U68" i="8"/>
  <c r="T68" i="8"/>
  <c r="S68" i="8"/>
  <c r="R68" i="8"/>
  <c r="Q68" i="8"/>
  <c r="P68" i="8"/>
  <c r="O68" i="8"/>
  <c r="N68" i="8"/>
  <c r="M68" i="8"/>
  <c r="L68" i="8"/>
  <c r="K68" i="8"/>
  <c r="J68" i="8"/>
  <c r="V67" i="8"/>
  <c r="U67" i="8"/>
  <c r="T67" i="8"/>
  <c r="S67" i="8"/>
  <c r="R67" i="8"/>
  <c r="Q67" i="8"/>
  <c r="P67" i="8"/>
  <c r="O67" i="8"/>
  <c r="N67" i="8"/>
  <c r="M67" i="8"/>
  <c r="L67" i="8"/>
  <c r="K67" i="8"/>
  <c r="J67" i="8"/>
  <c r="V66" i="8"/>
  <c r="U66" i="8"/>
  <c r="T66" i="8"/>
  <c r="S66" i="8"/>
  <c r="R66" i="8"/>
  <c r="Q66" i="8"/>
  <c r="P66" i="8"/>
  <c r="O66" i="8"/>
  <c r="N66" i="8"/>
  <c r="M66" i="8"/>
  <c r="L66" i="8"/>
  <c r="K66" i="8"/>
  <c r="J66" i="8"/>
  <c r="V65" i="8"/>
  <c r="U65" i="8"/>
  <c r="T65" i="8"/>
  <c r="S65" i="8"/>
  <c r="R65" i="8"/>
  <c r="Q65" i="8"/>
  <c r="P65" i="8"/>
  <c r="O65" i="8"/>
  <c r="N65" i="8"/>
  <c r="M65" i="8"/>
  <c r="L65" i="8"/>
  <c r="K65" i="8"/>
  <c r="J65" i="8"/>
  <c r="V64" i="8"/>
  <c r="U64" i="8"/>
  <c r="T64" i="8"/>
  <c r="S64" i="8"/>
  <c r="R64" i="8"/>
  <c r="Q64" i="8"/>
  <c r="P64" i="8"/>
  <c r="O64" i="8"/>
  <c r="N64" i="8"/>
  <c r="M64" i="8"/>
  <c r="L64" i="8"/>
  <c r="K64" i="8"/>
  <c r="J64" i="8"/>
  <c r="V63" i="8"/>
  <c r="U63" i="8"/>
  <c r="T63" i="8"/>
  <c r="S63" i="8"/>
  <c r="R63" i="8"/>
  <c r="Q63" i="8"/>
  <c r="P63" i="8"/>
  <c r="O63" i="8"/>
  <c r="N63" i="8"/>
  <c r="M63" i="8"/>
  <c r="L63" i="8"/>
  <c r="K63" i="8"/>
  <c r="J63" i="8"/>
  <c r="V62" i="8"/>
  <c r="U62" i="8"/>
  <c r="T62" i="8"/>
  <c r="S62" i="8"/>
  <c r="R62" i="8"/>
  <c r="Q62" i="8"/>
  <c r="P62" i="8"/>
  <c r="O62" i="8"/>
  <c r="N62" i="8"/>
  <c r="M62" i="8"/>
  <c r="L62" i="8"/>
  <c r="K62" i="8"/>
  <c r="J62" i="8"/>
  <c r="V61" i="8"/>
  <c r="U61" i="8"/>
  <c r="T61" i="8"/>
  <c r="S61" i="8"/>
  <c r="R61" i="8"/>
  <c r="Q61" i="8"/>
  <c r="P61" i="8"/>
  <c r="O61" i="8"/>
  <c r="N61" i="8"/>
  <c r="M61" i="8"/>
  <c r="L61" i="8"/>
  <c r="K61" i="8"/>
  <c r="J61" i="8"/>
  <c r="V60" i="8"/>
  <c r="U60" i="8"/>
  <c r="T60" i="8"/>
  <c r="S60" i="8"/>
  <c r="R60" i="8"/>
  <c r="Q60" i="8"/>
  <c r="P60" i="8"/>
  <c r="O60" i="8"/>
  <c r="N60" i="8"/>
  <c r="M60" i="8"/>
  <c r="L60" i="8"/>
  <c r="K60" i="8"/>
  <c r="J60" i="8"/>
  <c r="V59" i="8"/>
  <c r="U59" i="8"/>
  <c r="T59" i="8"/>
  <c r="S59" i="8"/>
  <c r="R59" i="8"/>
  <c r="Q59" i="8"/>
  <c r="P59" i="8"/>
  <c r="O59" i="8"/>
  <c r="N59" i="8"/>
  <c r="M59" i="8"/>
  <c r="L59" i="8"/>
  <c r="K59" i="8"/>
  <c r="J59" i="8"/>
  <c r="V58" i="8"/>
  <c r="U58" i="8"/>
  <c r="T58" i="8"/>
  <c r="S58" i="8"/>
  <c r="R58" i="8"/>
  <c r="Q58" i="8"/>
  <c r="P58" i="8"/>
  <c r="O58" i="8"/>
  <c r="N58" i="8"/>
  <c r="M58" i="8"/>
  <c r="L58" i="8"/>
  <c r="K58" i="8"/>
  <c r="J58" i="8"/>
  <c r="V57" i="8"/>
  <c r="U57" i="8"/>
  <c r="T57" i="8"/>
  <c r="S57" i="8"/>
  <c r="R57" i="8"/>
  <c r="Q57" i="8"/>
  <c r="P57" i="8"/>
  <c r="O57" i="8"/>
  <c r="N57" i="8"/>
  <c r="M57" i="8"/>
  <c r="L57" i="8"/>
  <c r="K57" i="8"/>
  <c r="J57" i="8"/>
  <c r="V56" i="8"/>
  <c r="U56" i="8"/>
  <c r="T56" i="8"/>
  <c r="S56" i="8"/>
  <c r="R56" i="8"/>
  <c r="Q56" i="8"/>
  <c r="P56" i="8"/>
  <c r="O56" i="8"/>
  <c r="N56" i="8"/>
  <c r="M56" i="8"/>
  <c r="L56" i="8"/>
  <c r="K56" i="8"/>
  <c r="J56" i="8"/>
  <c r="V55" i="8"/>
  <c r="U55" i="8"/>
  <c r="T55" i="8"/>
  <c r="S55" i="8"/>
  <c r="R55" i="8"/>
  <c r="Q55" i="8"/>
  <c r="P55" i="8"/>
  <c r="O55" i="8"/>
  <c r="N55" i="8"/>
  <c r="M55" i="8"/>
  <c r="L55" i="8"/>
  <c r="K55" i="8"/>
  <c r="J55" i="8"/>
  <c r="V54" i="8"/>
  <c r="U54" i="8"/>
  <c r="T54" i="8"/>
  <c r="S54" i="8"/>
  <c r="R54" i="8"/>
  <c r="Q54" i="8"/>
  <c r="P54" i="8"/>
  <c r="O54" i="8"/>
  <c r="N54" i="8"/>
  <c r="M54" i="8"/>
  <c r="L54" i="8"/>
  <c r="K54" i="8"/>
  <c r="J54" i="8"/>
  <c r="V53" i="8"/>
  <c r="U53" i="8"/>
  <c r="T53" i="8"/>
  <c r="S53" i="8"/>
  <c r="R53" i="8"/>
  <c r="Q53" i="8"/>
  <c r="P53" i="8"/>
  <c r="O53" i="8"/>
  <c r="N53" i="8"/>
  <c r="M53" i="8"/>
  <c r="L53" i="8"/>
  <c r="K53" i="8"/>
  <c r="J53" i="8"/>
  <c r="V52" i="8"/>
  <c r="U52" i="8"/>
  <c r="T52" i="8"/>
  <c r="S52" i="8"/>
  <c r="R52" i="8"/>
  <c r="Q52" i="8"/>
  <c r="P52" i="8"/>
  <c r="O52" i="8"/>
  <c r="N52" i="8"/>
  <c r="M52" i="8"/>
  <c r="L52" i="8"/>
  <c r="K52" i="8"/>
  <c r="J52" i="8"/>
  <c r="V51" i="8"/>
  <c r="U51" i="8"/>
  <c r="T51" i="8"/>
  <c r="S51" i="8"/>
  <c r="R51" i="8"/>
  <c r="Q51" i="8"/>
  <c r="P51" i="8"/>
  <c r="O51" i="8"/>
  <c r="N51" i="8"/>
  <c r="M51" i="8"/>
  <c r="L51" i="8"/>
  <c r="K51" i="8"/>
  <c r="J51" i="8"/>
  <c r="V50" i="8"/>
  <c r="U50" i="8"/>
  <c r="T50" i="8"/>
  <c r="S50" i="8"/>
  <c r="R50" i="8"/>
  <c r="Q50" i="8"/>
  <c r="P50" i="8"/>
  <c r="O50" i="8"/>
  <c r="N50" i="8"/>
  <c r="M50" i="8"/>
  <c r="L50" i="8"/>
  <c r="K50" i="8"/>
  <c r="J50" i="8"/>
  <c r="V49" i="8"/>
  <c r="U49" i="8"/>
  <c r="T49" i="8"/>
  <c r="S49" i="8"/>
  <c r="R49" i="8"/>
  <c r="Q49" i="8"/>
  <c r="P49" i="8"/>
  <c r="O49" i="8"/>
  <c r="N49" i="8"/>
  <c r="M49" i="8"/>
  <c r="L49" i="8"/>
  <c r="K49" i="8"/>
  <c r="J49" i="8"/>
  <c r="V48" i="8"/>
  <c r="U48" i="8"/>
  <c r="T48" i="8"/>
  <c r="S48" i="8"/>
  <c r="R48" i="8"/>
  <c r="Q48" i="8"/>
  <c r="P48" i="8"/>
  <c r="O48" i="8"/>
  <c r="N48" i="8"/>
  <c r="M48" i="8"/>
  <c r="L48" i="8"/>
  <c r="K48" i="8"/>
  <c r="J48" i="8"/>
  <c r="V47" i="8"/>
  <c r="U47" i="8"/>
  <c r="T47" i="8"/>
  <c r="S47" i="8"/>
  <c r="R47" i="8"/>
  <c r="Q47" i="8"/>
  <c r="P47" i="8"/>
  <c r="O47" i="8"/>
  <c r="N47" i="8"/>
  <c r="M47" i="8"/>
  <c r="L47" i="8"/>
  <c r="K47" i="8"/>
  <c r="J47" i="8"/>
  <c r="V46" i="8"/>
  <c r="U46" i="8"/>
  <c r="T46" i="8"/>
  <c r="S46" i="8"/>
  <c r="R46" i="8"/>
  <c r="Q46" i="8"/>
  <c r="P46" i="8"/>
  <c r="O46" i="8"/>
  <c r="N46" i="8"/>
  <c r="M46" i="8"/>
  <c r="L46" i="8"/>
  <c r="K46" i="8"/>
  <c r="J46" i="8"/>
  <c r="V45" i="8"/>
  <c r="U45" i="8"/>
  <c r="T45" i="8"/>
  <c r="S45" i="8"/>
  <c r="R45" i="8"/>
  <c r="Q45" i="8"/>
  <c r="P45" i="8"/>
  <c r="O45" i="8"/>
  <c r="N45" i="8"/>
  <c r="M45" i="8"/>
  <c r="L45" i="8"/>
  <c r="K45" i="8"/>
  <c r="J45" i="8"/>
  <c r="V44" i="8"/>
  <c r="U44" i="8"/>
  <c r="T44" i="8"/>
  <c r="S44" i="8"/>
  <c r="R44" i="8"/>
  <c r="Q44" i="8"/>
  <c r="P44" i="8"/>
  <c r="O44" i="8"/>
  <c r="N44" i="8"/>
  <c r="M44" i="8"/>
  <c r="L44" i="8"/>
  <c r="K44" i="8"/>
  <c r="J44" i="8"/>
  <c r="V43" i="8"/>
  <c r="U43" i="8"/>
  <c r="T43" i="8"/>
  <c r="S43" i="8"/>
  <c r="R43" i="8"/>
  <c r="Q43" i="8"/>
  <c r="P43" i="8"/>
  <c r="O43" i="8"/>
  <c r="N43" i="8"/>
  <c r="M43" i="8"/>
  <c r="L43" i="8"/>
  <c r="K43" i="8"/>
  <c r="J43" i="8"/>
  <c r="V42" i="8"/>
  <c r="U42" i="8"/>
  <c r="T42" i="8"/>
  <c r="S42" i="8"/>
  <c r="R42" i="8"/>
  <c r="Q42" i="8"/>
  <c r="P42" i="8"/>
  <c r="O42" i="8"/>
  <c r="N42" i="8"/>
  <c r="M42" i="8"/>
  <c r="L42" i="8"/>
  <c r="K42" i="8"/>
  <c r="J42" i="8"/>
  <c r="V41" i="8"/>
  <c r="U41" i="8"/>
  <c r="T41" i="8"/>
  <c r="S41" i="8"/>
  <c r="R41" i="8"/>
  <c r="Q41" i="8"/>
  <c r="P41" i="8"/>
  <c r="O41" i="8"/>
  <c r="N41" i="8"/>
  <c r="M41" i="8"/>
  <c r="L41" i="8"/>
  <c r="K41" i="8"/>
  <c r="J41" i="8"/>
  <c r="V40" i="8"/>
  <c r="U40" i="8"/>
  <c r="T40" i="8"/>
  <c r="S40" i="8"/>
  <c r="R40" i="8"/>
  <c r="Q40" i="8"/>
  <c r="P40" i="8"/>
  <c r="O40" i="8"/>
  <c r="N40" i="8"/>
  <c r="M40" i="8"/>
  <c r="L40" i="8"/>
  <c r="K40" i="8"/>
  <c r="J40" i="8"/>
  <c r="V39" i="8"/>
  <c r="U39" i="8"/>
  <c r="T39" i="8"/>
  <c r="S39" i="8"/>
  <c r="R39" i="8"/>
  <c r="Q39" i="8"/>
  <c r="P39" i="8"/>
  <c r="O39" i="8"/>
  <c r="N39" i="8"/>
  <c r="M39" i="8"/>
  <c r="L39" i="8"/>
  <c r="K39" i="8"/>
  <c r="J39" i="8"/>
  <c r="V37" i="8"/>
  <c r="U37" i="8"/>
  <c r="T37" i="8"/>
  <c r="S37" i="8"/>
  <c r="R37" i="8"/>
  <c r="Q37" i="8"/>
  <c r="P37" i="8"/>
  <c r="O37" i="8"/>
  <c r="N37" i="8"/>
  <c r="M37" i="8"/>
  <c r="L37" i="8"/>
  <c r="K37" i="8"/>
  <c r="J37" i="8"/>
  <c r="V36" i="8"/>
  <c r="U36" i="8"/>
  <c r="T36" i="8"/>
  <c r="S36" i="8"/>
  <c r="R36" i="8"/>
  <c r="Q36" i="8"/>
  <c r="P36" i="8"/>
  <c r="O36" i="8"/>
  <c r="N36" i="8"/>
  <c r="M36" i="8"/>
  <c r="L36" i="8"/>
  <c r="K36" i="8"/>
  <c r="J36" i="8"/>
  <c r="V35" i="8"/>
  <c r="U35" i="8"/>
  <c r="T35" i="8"/>
  <c r="S35" i="8"/>
  <c r="R35" i="8"/>
  <c r="Q35" i="8"/>
  <c r="P35" i="8"/>
  <c r="O35" i="8"/>
  <c r="N35" i="8"/>
  <c r="M35" i="8"/>
  <c r="L35" i="8"/>
  <c r="K35" i="8"/>
  <c r="J35" i="8"/>
  <c r="V34" i="8"/>
  <c r="U34" i="8"/>
  <c r="T34" i="8"/>
  <c r="S34" i="8"/>
  <c r="R34" i="8"/>
  <c r="Q34" i="8"/>
  <c r="P34" i="8"/>
  <c r="O34" i="8"/>
  <c r="N34" i="8"/>
  <c r="M34" i="8"/>
  <c r="L34" i="8"/>
  <c r="K34" i="8"/>
  <c r="J34" i="8"/>
  <c r="V33" i="8"/>
  <c r="U33" i="8"/>
  <c r="T33" i="8"/>
  <c r="S33" i="8"/>
  <c r="R33" i="8"/>
  <c r="Q33" i="8"/>
  <c r="P33" i="8"/>
  <c r="O33" i="8"/>
  <c r="N33" i="8"/>
  <c r="M33" i="8"/>
  <c r="L33" i="8"/>
  <c r="K33" i="8"/>
  <c r="J33" i="8"/>
  <c r="V32" i="8"/>
  <c r="U32" i="8"/>
  <c r="T32" i="8"/>
  <c r="S32" i="8"/>
  <c r="R32" i="8"/>
  <c r="Q32" i="8"/>
  <c r="P32" i="8"/>
  <c r="O32" i="8"/>
  <c r="N32" i="8"/>
  <c r="M32" i="8"/>
  <c r="L32" i="8"/>
  <c r="K32" i="8"/>
  <c r="J32" i="8"/>
  <c r="V31" i="8"/>
  <c r="U31" i="8"/>
  <c r="T31" i="8"/>
  <c r="S31" i="8"/>
  <c r="R31" i="8"/>
  <c r="Q31" i="8"/>
  <c r="P31" i="8"/>
  <c r="O31" i="8"/>
  <c r="N31" i="8"/>
  <c r="M31" i="8"/>
  <c r="L31" i="8"/>
  <c r="K31" i="8"/>
  <c r="J31" i="8"/>
  <c r="V30" i="8"/>
  <c r="U30" i="8"/>
  <c r="T30" i="8"/>
  <c r="S30" i="8"/>
  <c r="R30" i="8"/>
  <c r="Q30" i="8"/>
  <c r="P30" i="8"/>
  <c r="O30" i="8"/>
  <c r="N30" i="8"/>
  <c r="M30" i="8"/>
  <c r="L30" i="8"/>
  <c r="K30" i="8"/>
  <c r="J30" i="8"/>
  <c r="V29" i="8"/>
  <c r="U29" i="8"/>
  <c r="T29" i="8"/>
  <c r="S29" i="8"/>
  <c r="R29" i="8"/>
  <c r="Q29" i="8"/>
  <c r="P29" i="8"/>
  <c r="O29" i="8"/>
  <c r="N29" i="8"/>
  <c r="M29" i="8"/>
  <c r="L29" i="8"/>
  <c r="K29" i="8"/>
  <c r="J29" i="8"/>
  <c r="V28" i="8"/>
  <c r="U28" i="8"/>
  <c r="T28" i="8"/>
  <c r="S28" i="8"/>
  <c r="R28" i="8"/>
  <c r="Q28" i="8"/>
  <c r="P28" i="8"/>
  <c r="O28" i="8"/>
  <c r="N28" i="8"/>
  <c r="M28" i="8"/>
  <c r="L28" i="8"/>
  <c r="K28" i="8"/>
  <c r="J28" i="8"/>
  <c r="V27" i="8"/>
  <c r="U27" i="8"/>
  <c r="T27" i="8"/>
  <c r="S27" i="8"/>
  <c r="R27" i="8"/>
  <c r="Q27" i="8"/>
  <c r="P27" i="8"/>
  <c r="O27" i="8"/>
  <c r="N27" i="8"/>
  <c r="M27" i="8"/>
  <c r="L27" i="8"/>
  <c r="K27" i="8"/>
  <c r="J27" i="8"/>
  <c r="V26" i="8"/>
  <c r="U26" i="8"/>
  <c r="T26" i="8"/>
  <c r="S26" i="8"/>
  <c r="R26" i="8"/>
  <c r="Q26" i="8"/>
  <c r="P26" i="8"/>
  <c r="O26" i="8"/>
  <c r="N26" i="8"/>
  <c r="M26" i="8"/>
  <c r="L26" i="8"/>
  <c r="K26" i="8"/>
  <c r="J26" i="8"/>
  <c r="F23" i="5"/>
  <c r="F21" i="5"/>
  <c r="F19" i="5"/>
  <c r="F15" i="5"/>
  <c r="AC54" i="5"/>
  <c r="AC52" i="5"/>
  <c r="AC50" i="5"/>
  <c r="B23" i="8"/>
  <c r="C11" i="8" s="1"/>
  <c r="E11" i="8" s="1"/>
  <c r="C6" i="8"/>
  <c r="C5" i="8"/>
  <c r="F3" i="8"/>
  <c r="C3" i="8"/>
  <c r="F4" i="8"/>
  <c r="C4" i="8"/>
  <c r="AC85" i="1" l="1"/>
  <c r="A109" i="10" s="1"/>
  <c r="K504" i="8"/>
  <c r="X11" i="1" s="1"/>
  <c r="V16" i="1"/>
  <c r="V504" i="8"/>
  <c r="X22" i="1" s="1"/>
  <c r="Y22" i="1" s="1"/>
  <c r="S504" i="8"/>
  <c r="X19" i="1" s="1"/>
  <c r="D23" i="8"/>
  <c r="D24" i="8" s="1"/>
  <c r="D25" i="8" s="1"/>
  <c r="D26" i="8" s="1"/>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77" i="8" s="1"/>
  <c r="D78" i="8" s="1"/>
  <c r="D79" i="8" s="1"/>
  <c r="D80" i="8" s="1"/>
  <c r="D81" i="8" s="1"/>
  <c r="D82" i="8" s="1"/>
  <c r="D83" i="8" s="1"/>
  <c r="D84" i="8" s="1"/>
  <c r="D85" i="8" s="1"/>
  <c r="D86" i="8" s="1"/>
  <c r="D87" i="8" s="1"/>
  <c r="D88" i="8" s="1"/>
  <c r="D89" i="8" s="1"/>
  <c r="D90" i="8" s="1"/>
  <c r="D91" i="8" s="1"/>
  <c r="D92" i="8" s="1"/>
  <c r="D93" i="8" s="1"/>
  <c r="D94" i="8" s="1"/>
  <c r="D95" i="8" s="1"/>
  <c r="D96" i="8" s="1"/>
  <c r="D97" i="8" s="1"/>
  <c r="D98" i="8" s="1"/>
  <c r="D99" i="8" s="1"/>
  <c r="D100" i="8" s="1"/>
  <c r="D101" i="8" s="1"/>
  <c r="D102" i="8" s="1"/>
  <c r="D103" i="8" s="1"/>
  <c r="D104" i="8" s="1"/>
  <c r="D105" i="8" s="1"/>
  <c r="D106" i="8" s="1"/>
  <c r="D107" i="8" s="1"/>
  <c r="D108" i="8" s="1"/>
  <c r="D109" i="8" s="1"/>
  <c r="D110" i="8" s="1"/>
  <c r="D111" i="8" s="1"/>
  <c r="D112" i="8" s="1"/>
  <c r="D113" i="8" s="1"/>
  <c r="D114" i="8" s="1"/>
  <c r="D115" i="8" s="1"/>
  <c r="D116" i="8" s="1"/>
  <c r="D117" i="8" s="1"/>
  <c r="D118" i="8" s="1"/>
  <c r="D119" i="8" s="1"/>
  <c r="D120" i="8" s="1"/>
  <c r="D121" i="8" s="1"/>
  <c r="D122" i="8" s="1"/>
  <c r="D123" i="8" s="1"/>
  <c r="D124" i="8" s="1"/>
  <c r="D125" i="8" s="1"/>
  <c r="D126" i="8" s="1"/>
  <c r="D127" i="8" s="1"/>
  <c r="D128" i="8" s="1"/>
  <c r="D129" i="8" s="1"/>
  <c r="D130" i="8" s="1"/>
  <c r="D131" i="8" s="1"/>
  <c r="D132" i="8" s="1"/>
  <c r="D133" i="8" s="1"/>
  <c r="D134" i="8" s="1"/>
  <c r="D135" i="8" s="1"/>
  <c r="D136" i="8" s="1"/>
  <c r="D137" i="8" s="1"/>
  <c r="D138" i="8" s="1"/>
  <c r="D139" i="8" s="1"/>
  <c r="D140" i="8" s="1"/>
  <c r="D141" i="8" s="1"/>
  <c r="D142" i="8" s="1"/>
  <c r="D143" i="8" s="1"/>
  <c r="D144" i="8" s="1"/>
  <c r="D145" i="8" s="1"/>
  <c r="D146" i="8" s="1"/>
  <c r="D147" i="8" s="1"/>
  <c r="D148" i="8" s="1"/>
  <c r="D149" i="8" s="1"/>
  <c r="D150" i="8" s="1"/>
  <c r="D151" i="8" s="1"/>
  <c r="D152" i="8" s="1"/>
  <c r="D153" i="8" s="1"/>
  <c r="D154" i="8" s="1"/>
  <c r="D155" i="8" s="1"/>
  <c r="D156" i="8" s="1"/>
  <c r="D157" i="8" s="1"/>
  <c r="D158" i="8" s="1"/>
  <c r="D159" i="8" s="1"/>
  <c r="D160" i="8" s="1"/>
  <c r="D161" i="8" s="1"/>
  <c r="D162" i="8" s="1"/>
  <c r="D163" i="8" s="1"/>
  <c r="D164" i="8" s="1"/>
  <c r="D165" i="8" s="1"/>
  <c r="D166" i="8" s="1"/>
  <c r="D167" i="8" s="1"/>
  <c r="D168" i="8" s="1"/>
  <c r="D169" i="8" s="1"/>
  <c r="D170" i="8" s="1"/>
  <c r="D171" i="8" s="1"/>
  <c r="D172" i="8" s="1"/>
  <c r="D173" i="8" s="1"/>
  <c r="D174" i="8" s="1"/>
  <c r="D175" i="8" s="1"/>
  <c r="D176" i="8" s="1"/>
  <c r="D177" i="8" s="1"/>
  <c r="D178" i="8" s="1"/>
  <c r="D179" i="8" s="1"/>
  <c r="D180" i="8" s="1"/>
  <c r="D181" i="8" s="1"/>
  <c r="D182" i="8" s="1"/>
  <c r="D183" i="8" s="1"/>
  <c r="D184" i="8" s="1"/>
  <c r="D185" i="8" s="1"/>
  <c r="D186" i="8" s="1"/>
  <c r="D187" i="8" s="1"/>
  <c r="D188" i="8" s="1"/>
  <c r="D189" i="8" s="1"/>
  <c r="D190" i="8" s="1"/>
  <c r="D191" i="8" s="1"/>
  <c r="D192" i="8" s="1"/>
  <c r="D193" i="8" s="1"/>
  <c r="D194" i="8" s="1"/>
  <c r="D195" i="8" s="1"/>
  <c r="D196" i="8" s="1"/>
  <c r="D197" i="8" s="1"/>
  <c r="D198" i="8" s="1"/>
  <c r="D199" i="8" s="1"/>
  <c r="D200" i="8" s="1"/>
  <c r="D201" i="8" s="1"/>
  <c r="D202" i="8" s="1"/>
  <c r="D203" i="8" s="1"/>
  <c r="D204" i="8" s="1"/>
  <c r="D205" i="8" s="1"/>
  <c r="D206" i="8" s="1"/>
  <c r="D207" i="8" s="1"/>
  <c r="D208" i="8" s="1"/>
  <c r="D209" i="8" s="1"/>
  <c r="D210" i="8" s="1"/>
  <c r="D211" i="8" s="1"/>
  <c r="D212" i="8" s="1"/>
  <c r="D213" i="8" s="1"/>
  <c r="D214" i="8" s="1"/>
  <c r="D215" i="8" s="1"/>
  <c r="D216" i="8" s="1"/>
  <c r="D217" i="8" s="1"/>
  <c r="D218" i="8" s="1"/>
  <c r="D219" i="8" s="1"/>
  <c r="D220" i="8" s="1"/>
  <c r="D221" i="8" s="1"/>
  <c r="D222" i="8" s="1"/>
  <c r="D223" i="8" s="1"/>
  <c r="D224" i="8" s="1"/>
  <c r="D225" i="8" s="1"/>
  <c r="D226" i="8" s="1"/>
  <c r="D227" i="8" s="1"/>
  <c r="D228" i="8" s="1"/>
  <c r="D229" i="8" s="1"/>
  <c r="D230" i="8" s="1"/>
  <c r="D231" i="8" s="1"/>
  <c r="D232" i="8" s="1"/>
  <c r="D233" i="8" s="1"/>
  <c r="D234" i="8" s="1"/>
  <c r="D235" i="8" s="1"/>
  <c r="D236" i="8" s="1"/>
  <c r="D237" i="8" s="1"/>
  <c r="D238" i="8" s="1"/>
  <c r="D239" i="8" s="1"/>
  <c r="D240" i="8" s="1"/>
  <c r="D241" i="8" s="1"/>
  <c r="D242" i="8" s="1"/>
  <c r="D243" i="8" s="1"/>
  <c r="D244" i="8" s="1"/>
  <c r="D245" i="8" s="1"/>
  <c r="D246" i="8" s="1"/>
  <c r="D247" i="8" s="1"/>
  <c r="D248" i="8" s="1"/>
  <c r="D249" i="8" s="1"/>
  <c r="D250" i="8" s="1"/>
  <c r="D251" i="8" s="1"/>
  <c r="D252" i="8" s="1"/>
  <c r="D253" i="8" s="1"/>
  <c r="D254" i="8" s="1"/>
  <c r="D255" i="8" s="1"/>
  <c r="D256" i="8" s="1"/>
  <c r="D257" i="8" s="1"/>
  <c r="D258" i="8" s="1"/>
  <c r="D259" i="8" s="1"/>
  <c r="D260" i="8" s="1"/>
  <c r="D261" i="8" s="1"/>
  <c r="D262" i="8" s="1"/>
  <c r="D263" i="8" s="1"/>
  <c r="D264" i="8" s="1"/>
  <c r="D265" i="8" s="1"/>
  <c r="D266" i="8" s="1"/>
  <c r="D267" i="8" s="1"/>
  <c r="D268" i="8" s="1"/>
  <c r="D269" i="8" s="1"/>
  <c r="D270" i="8" s="1"/>
  <c r="D271" i="8" s="1"/>
  <c r="D272" i="8" s="1"/>
  <c r="D273" i="8" s="1"/>
  <c r="D274" i="8" s="1"/>
  <c r="D275" i="8" s="1"/>
  <c r="D276" i="8" s="1"/>
  <c r="D277" i="8" s="1"/>
  <c r="D278" i="8" s="1"/>
  <c r="D279" i="8" s="1"/>
  <c r="D280" i="8" s="1"/>
  <c r="D281" i="8" s="1"/>
  <c r="D282" i="8" s="1"/>
  <c r="D283" i="8" s="1"/>
  <c r="D284" i="8" s="1"/>
  <c r="D285" i="8" s="1"/>
  <c r="D286" i="8" s="1"/>
  <c r="D287" i="8" s="1"/>
  <c r="D288" i="8" s="1"/>
  <c r="D289" i="8" s="1"/>
  <c r="D290" i="8" s="1"/>
  <c r="D291" i="8" s="1"/>
  <c r="D292" i="8" s="1"/>
  <c r="D293" i="8" s="1"/>
  <c r="D294" i="8" s="1"/>
  <c r="D295" i="8" s="1"/>
  <c r="D296" i="8" s="1"/>
  <c r="D297" i="8" s="1"/>
  <c r="D298" i="8" s="1"/>
  <c r="D299" i="8" s="1"/>
  <c r="D300" i="8" s="1"/>
  <c r="D301" i="8" s="1"/>
  <c r="D302" i="8" s="1"/>
  <c r="D303" i="8" s="1"/>
  <c r="D304" i="8" s="1"/>
  <c r="D305" i="8" s="1"/>
  <c r="D306" i="8" s="1"/>
  <c r="D307" i="8" s="1"/>
  <c r="D308" i="8" s="1"/>
  <c r="D309" i="8" s="1"/>
  <c r="D310" i="8" s="1"/>
  <c r="D311" i="8" s="1"/>
  <c r="D312" i="8" s="1"/>
  <c r="D313" i="8" s="1"/>
  <c r="D314" i="8" s="1"/>
  <c r="D315" i="8" s="1"/>
  <c r="D316" i="8" s="1"/>
  <c r="D317" i="8" s="1"/>
  <c r="D318" i="8" s="1"/>
  <c r="D319" i="8" s="1"/>
  <c r="D320" i="8" s="1"/>
  <c r="D321" i="8" s="1"/>
  <c r="D322" i="8" s="1"/>
  <c r="D323" i="8" s="1"/>
  <c r="D324" i="8" s="1"/>
  <c r="D325" i="8" s="1"/>
  <c r="D326" i="8" s="1"/>
  <c r="D327" i="8" s="1"/>
  <c r="D328" i="8" s="1"/>
  <c r="D329" i="8" s="1"/>
  <c r="D330" i="8" s="1"/>
  <c r="D331" i="8" s="1"/>
  <c r="D332" i="8" s="1"/>
  <c r="D333" i="8" s="1"/>
  <c r="D334" i="8" s="1"/>
  <c r="D335" i="8" s="1"/>
  <c r="D336" i="8" s="1"/>
  <c r="D337" i="8" s="1"/>
  <c r="D338" i="8" s="1"/>
  <c r="D339" i="8" s="1"/>
  <c r="D340" i="8" s="1"/>
  <c r="D341" i="8" s="1"/>
  <c r="D342" i="8" s="1"/>
  <c r="D343" i="8" s="1"/>
  <c r="D344" i="8" s="1"/>
  <c r="D345" i="8" s="1"/>
  <c r="D346" i="8" s="1"/>
  <c r="D347" i="8" s="1"/>
  <c r="D348" i="8" s="1"/>
  <c r="D349" i="8" s="1"/>
  <c r="D350" i="8" s="1"/>
  <c r="D351" i="8" s="1"/>
  <c r="D352" i="8" s="1"/>
  <c r="D353" i="8" s="1"/>
  <c r="D354" i="8" s="1"/>
  <c r="D355" i="8" s="1"/>
  <c r="D356" i="8" s="1"/>
  <c r="D357" i="8" s="1"/>
  <c r="D358" i="8" s="1"/>
  <c r="D359" i="8" s="1"/>
  <c r="D360" i="8" s="1"/>
  <c r="D361" i="8" s="1"/>
  <c r="D362" i="8" s="1"/>
  <c r="D363" i="8" s="1"/>
  <c r="D364" i="8" s="1"/>
  <c r="D365" i="8" s="1"/>
  <c r="D366" i="8" s="1"/>
  <c r="D367" i="8" s="1"/>
  <c r="D368" i="8" s="1"/>
  <c r="D369" i="8" s="1"/>
  <c r="D370" i="8" s="1"/>
  <c r="D371" i="8" s="1"/>
  <c r="D372" i="8" s="1"/>
  <c r="D373" i="8" s="1"/>
  <c r="D374" i="8" s="1"/>
  <c r="D375" i="8" s="1"/>
  <c r="D376" i="8" s="1"/>
  <c r="D377" i="8" s="1"/>
  <c r="D378" i="8" s="1"/>
  <c r="D379" i="8" s="1"/>
  <c r="D380" i="8" s="1"/>
  <c r="D381" i="8" s="1"/>
  <c r="D382" i="8" s="1"/>
  <c r="D383" i="8" s="1"/>
  <c r="D384" i="8" s="1"/>
  <c r="D385" i="8" s="1"/>
  <c r="D386" i="8" s="1"/>
  <c r="D387" i="8" s="1"/>
  <c r="D388" i="8" s="1"/>
  <c r="D389" i="8" s="1"/>
  <c r="D390" i="8" s="1"/>
  <c r="D391" i="8" s="1"/>
  <c r="D392" i="8" s="1"/>
  <c r="D393" i="8" s="1"/>
  <c r="D394" i="8" s="1"/>
  <c r="D395" i="8" s="1"/>
  <c r="D396" i="8" s="1"/>
  <c r="D397" i="8" s="1"/>
  <c r="D398" i="8" s="1"/>
  <c r="D399" i="8" s="1"/>
  <c r="D400" i="8" s="1"/>
  <c r="D401" i="8" s="1"/>
  <c r="D402" i="8" s="1"/>
  <c r="D403" i="8" s="1"/>
  <c r="D404" i="8" s="1"/>
  <c r="D405" i="8" s="1"/>
  <c r="D406" i="8" s="1"/>
  <c r="D407" i="8" s="1"/>
  <c r="D408" i="8" s="1"/>
  <c r="D409" i="8" s="1"/>
  <c r="D410" i="8" s="1"/>
  <c r="D411" i="8" s="1"/>
  <c r="D412" i="8" s="1"/>
  <c r="D413" i="8" s="1"/>
  <c r="D414" i="8" s="1"/>
  <c r="D415" i="8" s="1"/>
  <c r="D416" i="8" s="1"/>
  <c r="D417" i="8" s="1"/>
  <c r="D418" i="8" s="1"/>
  <c r="D419" i="8" s="1"/>
  <c r="D420" i="8" s="1"/>
  <c r="D421" i="8" s="1"/>
  <c r="D422" i="8" s="1"/>
  <c r="D423" i="8" s="1"/>
  <c r="D424" i="8" s="1"/>
  <c r="D425" i="8" s="1"/>
  <c r="D426" i="8" s="1"/>
  <c r="D427" i="8" s="1"/>
  <c r="D428" i="8" s="1"/>
  <c r="D429" i="8" s="1"/>
  <c r="D430" i="8" s="1"/>
  <c r="D431" i="8" s="1"/>
  <c r="D432" i="8" s="1"/>
  <c r="D433" i="8" s="1"/>
  <c r="D434" i="8" s="1"/>
  <c r="D435" i="8" s="1"/>
  <c r="D436" i="8" s="1"/>
  <c r="D437" i="8" s="1"/>
  <c r="D438" i="8" s="1"/>
  <c r="D439" i="8" s="1"/>
  <c r="D440" i="8" s="1"/>
  <c r="D441" i="8" s="1"/>
  <c r="D442" i="8" s="1"/>
  <c r="D443" i="8" s="1"/>
  <c r="D444" i="8" s="1"/>
  <c r="D445" i="8" s="1"/>
  <c r="D446" i="8" s="1"/>
  <c r="D447" i="8" s="1"/>
  <c r="D448" i="8" s="1"/>
  <c r="D449" i="8" s="1"/>
  <c r="D450" i="8" s="1"/>
  <c r="D451" i="8" s="1"/>
  <c r="D452" i="8" s="1"/>
  <c r="D453" i="8" s="1"/>
  <c r="D454" i="8" s="1"/>
  <c r="D455" i="8" s="1"/>
  <c r="D456" i="8" s="1"/>
  <c r="D457" i="8" s="1"/>
  <c r="D458" i="8" s="1"/>
  <c r="D459" i="8" s="1"/>
  <c r="D460" i="8" s="1"/>
  <c r="D461" i="8" s="1"/>
  <c r="D462" i="8" s="1"/>
  <c r="D463" i="8" s="1"/>
  <c r="D464" i="8" s="1"/>
  <c r="D465" i="8" s="1"/>
  <c r="D466" i="8" s="1"/>
  <c r="D467" i="8" s="1"/>
  <c r="D468" i="8" s="1"/>
  <c r="D469" i="8" s="1"/>
  <c r="D470" i="8" s="1"/>
  <c r="D471" i="8" s="1"/>
  <c r="D472" i="8" s="1"/>
  <c r="D473" i="8" s="1"/>
  <c r="D474" i="8" s="1"/>
  <c r="D475" i="8" s="1"/>
  <c r="D476" i="8" s="1"/>
  <c r="D477" i="8" s="1"/>
  <c r="D478" i="8" s="1"/>
  <c r="D479" i="8" s="1"/>
  <c r="D480" i="8" s="1"/>
  <c r="D481" i="8" s="1"/>
  <c r="D482" i="8" s="1"/>
  <c r="D483" i="8" s="1"/>
  <c r="D484" i="8" s="1"/>
  <c r="D485" i="8" s="1"/>
  <c r="D486" i="8" s="1"/>
  <c r="D487" i="8" s="1"/>
  <c r="D488" i="8" s="1"/>
  <c r="D489" i="8" s="1"/>
  <c r="D490" i="8" s="1"/>
  <c r="D491" i="8" s="1"/>
  <c r="D492" i="8" s="1"/>
  <c r="D493" i="8" s="1"/>
  <c r="D494" i="8" s="1"/>
  <c r="D495" i="8" s="1"/>
  <c r="D496" i="8" s="1"/>
  <c r="D497" i="8" s="1"/>
  <c r="D498" i="8" s="1"/>
  <c r="D499" i="8" s="1"/>
  <c r="D500" i="8" s="1"/>
  <c r="D501" i="8" s="1"/>
  <c r="D502" i="8" s="1"/>
  <c r="D503" i="8" s="1"/>
  <c r="O504" i="8"/>
  <c r="X15" i="1" s="1"/>
  <c r="J504" i="8"/>
  <c r="X10" i="1" s="1"/>
  <c r="N504" i="8"/>
  <c r="X14" i="1" s="1"/>
  <c r="R504" i="8"/>
  <c r="X18" i="1" s="1"/>
  <c r="L504" i="8"/>
  <c r="X12" i="1" s="1"/>
  <c r="P504" i="8"/>
  <c r="X16" i="1" s="1"/>
  <c r="T504" i="8"/>
  <c r="X20" i="1" s="1"/>
  <c r="M504" i="8"/>
  <c r="X13" i="1" s="1"/>
  <c r="Q504" i="8"/>
  <c r="X17" i="1" s="1"/>
  <c r="U504" i="8"/>
  <c r="X21" i="1" s="1"/>
  <c r="V20" i="1"/>
  <c r="V19" i="1"/>
  <c r="V15" i="1"/>
  <c r="V14" i="1"/>
  <c r="V13" i="1"/>
  <c r="Y27" i="1"/>
  <c r="V11" i="1"/>
  <c r="V10" i="1"/>
  <c r="W10" i="1" s="1"/>
  <c r="AY70" i="1"/>
  <c r="Z70" i="1"/>
  <c r="AG20" i="1"/>
  <c r="AG24" i="1"/>
  <c r="AG23" i="1"/>
  <c r="AG22" i="1"/>
  <c r="AG21" i="1"/>
  <c r="AG19" i="1"/>
  <c r="AG18" i="1"/>
  <c r="AG17" i="1"/>
  <c r="AG16" i="1"/>
  <c r="AG15" i="1"/>
  <c r="F182" i="1"/>
  <c r="G189" i="1"/>
  <c r="W144" i="1"/>
  <c r="V144" i="1"/>
  <c r="Q144" i="1"/>
  <c r="P144" i="1"/>
  <c r="W143" i="1"/>
  <c r="V143" i="1"/>
  <c r="Q143" i="1"/>
  <c r="P143" i="1"/>
  <c r="W142" i="1"/>
  <c r="V142" i="1"/>
  <c r="Q142" i="1"/>
  <c r="P142" i="1"/>
  <c r="W141" i="1"/>
  <c r="V141" i="1"/>
  <c r="Q141" i="1"/>
  <c r="P141" i="1"/>
  <c r="W140" i="1"/>
  <c r="V140" i="1"/>
  <c r="Q140" i="1"/>
  <c r="P140" i="1"/>
  <c r="W139" i="1"/>
  <c r="V139" i="1"/>
  <c r="Q139" i="1"/>
  <c r="P139"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AA92"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1" i="1"/>
  <c r="AA90" i="1"/>
  <c r="AA89" i="1"/>
  <c r="AA88" i="1"/>
  <c r="BA70" i="1" l="1"/>
  <c r="N70" i="1"/>
  <c r="S70" i="1" s="1"/>
  <c r="T70" i="1" s="1"/>
  <c r="CL42" i="1"/>
  <c r="CL38" i="1"/>
  <c r="CL45" i="1"/>
  <c r="CL41" i="1"/>
  <c r="CL37" i="1"/>
  <c r="CL44" i="1"/>
  <c r="CL40" i="1"/>
  <c r="CL36" i="1"/>
  <c r="CL43" i="1"/>
  <c r="CL39" i="1"/>
  <c r="A30" i="10"/>
  <c r="S12" i="1"/>
  <c r="V18" i="1"/>
  <c r="V21" i="1"/>
  <c r="AG1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CG122" i="1" l="1"/>
  <c r="CF122" i="1"/>
  <c r="CG134" i="1"/>
  <c r="CF134" i="1"/>
  <c r="CG150" i="1"/>
  <c r="CF150" i="1"/>
  <c r="CF123" i="1"/>
  <c r="CG123" i="1"/>
  <c r="CF127" i="1"/>
  <c r="CG127" i="1"/>
  <c r="CF131" i="1"/>
  <c r="CG131" i="1"/>
  <c r="CF135" i="1"/>
  <c r="CG135" i="1"/>
  <c r="CF139" i="1"/>
  <c r="CG139" i="1"/>
  <c r="CF143" i="1"/>
  <c r="CG143" i="1"/>
  <c r="CF147" i="1"/>
  <c r="CG147" i="1"/>
  <c r="CF151" i="1"/>
  <c r="CG151" i="1"/>
  <c r="CF155" i="1"/>
  <c r="CG155" i="1"/>
  <c r="CF159" i="1"/>
  <c r="CG159" i="1"/>
  <c r="CF163" i="1"/>
  <c r="CG163" i="1"/>
  <c r="CG126" i="1"/>
  <c r="CF126" i="1"/>
  <c r="CG138" i="1"/>
  <c r="CF138" i="1"/>
  <c r="CG146" i="1"/>
  <c r="CF146" i="1"/>
  <c r="CF158" i="1"/>
  <c r="CG158" i="1"/>
  <c r="CG120" i="1"/>
  <c r="CF120" i="1"/>
  <c r="CG124" i="1"/>
  <c r="CF124" i="1"/>
  <c r="CG128" i="1"/>
  <c r="CF128" i="1"/>
  <c r="CG132" i="1"/>
  <c r="CF132" i="1"/>
  <c r="CG136" i="1"/>
  <c r="CF136" i="1"/>
  <c r="CG140" i="1"/>
  <c r="CF140" i="1"/>
  <c r="CG144" i="1"/>
  <c r="CF144" i="1"/>
  <c r="CG148" i="1"/>
  <c r="CF148" i="1"/>
  <c r="CG152" i="1"/>
  <c r="CF152" i="1"/>
  <c r="CG156" i="1"/>
  <c r="CF156" i="1"/>
  <c r="CG160" i="1"/>
  <c r="CF160" i="1"/>
  <c r="CG164" i="1"/>
  <c r="CF164" i="1"/>
  <c r="CG130" i="1"/>
  <c r="CF130" i="1"/>
  <c r="CF142" i="1"/>
  <c r="CG142" i="1"/>
  <c r="CG154" i="1"/>
  <c r="CF154" i="1"/>
  <c r="CG162" i="1"/>
  <c r="CF162" i="1"/>
  <c r="CC178" i="1"/>
  <c r="CC177" i="1"/>
  <c r="CC176" i="1"/>
  <c r="CC179" i="1"/>
  <c r="CG121" i="1"/>
  <c r="CF121" i="1"/>
  <c r="CG125" i="1"/>
  <c r="CF125" i="1"/>
  <c r="CF129" i="1"/>
  <c r="CG129" i="1"/>
  <c r="CF133" i="1"/>
  <c r="CG133" i="1"/>
  <c r="CF137" i="1"/>
  <c r="CG137" i="1"/>
  <c r="CF141" i="1"/>
  <c r="CG141" i="1"/>
  <c r="CG145" i="1"/>
  <c r="CF145" i="1"/>
  <c r="CG149" i="1"/>
  <c r="CF149" i="1"/>
  <c r="CF153" i="1"/>
  <c r="CG153" i="1"/>
  <c r="CF157" i="1"/>
  <c r="CG157" i="1"/>
  <c r="CG161" i="1"/>
  <c r="CF161" i="1"/>
  <c r="CG119" i="1"/>
  <c r="CC119" i="1"/>
  <c r="A170" i="10" s="1"/>
  <c r="CC175" i="1"/>
  <c r="A98" i="10"/>
  <c r="J93" i="1"/>
  <c r="O75" i="1" s="1"/>
  <c r="J124" i="1"/>
  <c r="CM104" i="1" s="1"/>
  <c r="A241" i="10" s="1"/>
  <c r="J129" i="1"/>
  <c r="J128" i="1"/>
  <c r="J127" i="1"/>
  <c r="J125" i="1"/>
  <c r="CM105" i="1" s="1"/>
  <c r="A242" i="10" s="1"/>
  <c r="J123" i="1"/>
  <c r="CM103" i="1" s="1"/>
  <c r="A240" i="10" s="1"/>
  <c r="I118" i="1"/>
  <c r="J118" i="1" s="1"/>
  <c r="CM99" i="1" s="1"/>
  <c r="A236" i="10" s="1"/>
  <c r="I121" i="1"/>
  <c r="J121" i="1" s="1"/>
  <c r="CM102" i="1" s="1"/>
  <c r="A239" i="10" s="1"/>
  <c r="I120" i="1"/>
  <c r="J120" i="1" s="1"/>
  <c r="CM101" i="1" s="1"/>
  <c r="A238" i="10" s="1"/>
  <c r="I119" i="1"/>
  <c r="J119" i="1" s="1"/>
  <c r="CM100" i="1" s="1"/>
  <c r="A237" i="10" s="1"/>
  <c r="I116" i="1"/>
  <c r="J116" i="1" s="1"/>
  <c r="CM98" i="1" s="1"/>
  <c r="A235" i="10" s="1"/>
  <c r="I115" i="1"/>
  <c r="J115" i="1" s="1"/>
  <c r="CM97" i="1" s="1"/>
  <c r="A234" i="10" s="1"/>
  <c r="I114" i="1"/>
  <c r="J114" i="1" s="1"/>
  <c r="CM96" i="1" s="1"/>
  <c r="A233" i="10" s="1"/>
  <c r="I113" i="1"/>
  <c r="J113" i="1" s="1"/>
  <c r="CM95" i="1" s="1"/>
  <c r="A232" i="10" s="1"/>
  <c r="I111" i="1"/>
  <c r="J111" i="1" s="1"/>
  <c r="CM94" i="1" s="1"/>
  <c r="A231" i="10" s="1"/>
  <c r="I110" i="1"/>
  <c r="J110" i="1" s="1"/>
  <c r="CM93" i="1" s="1"/>
  <c r="A230" i="10" s="1"/>
  <c r="I109" i="1"/>
  <c r="J109" i="1" s="1"/>
  <c r="CM92" i="1" s="1"/>
  <c r="A229" i="10" s="1"/>
  <c r="I108" i="1"/>
  <c r="J108" i="1" s="1"/>
  <c r="CM91" i="1" s="1"/>
  <c r="A228" i="10" s="1"/>
  <c r="I106" i="1"/>
  <c r="J106" i="1" s="1"/>
  <c r="CM90" i="1" s="1"/>
  <c r="A227" i="10" s="1"/>
  <c r="I105" i="1"/>
  <c r="J105" i="1" s="1"/>
  <c r="CM89" i="1" s="1"/>
  <c r="A226" i="10" s="1"/>
  <c r="I104" i="1"/>
  <c r="J104" i="1" s="1"/>
  <c r="CM88" i="1" s="1"/>
  <c r="A225" i="10" s="1"/>
  <c r="I103" i="1"/>
  <c r="J103" i="1" s="1"/>
  <c r="CM87" i="1" s="1"/>
  <c r="A224" i="10" s="1"/>
  <c r="I100" i="1"/>
  <c r="J100" i="1" s="1"/>
  <c r="CM85" i="1" s="1"/>
  <c r="A222" i="10" s="1"/>
  <c r="I99" i="1"/>
  <c r="J99" i="1" s="1"/>
  <c r="CM84" i="1" s="1"/>
  <c r="A221" i="10" s="1"/>
  <c r="I98" i="1"/>
  <c r="J98" i="1" s="1"/>
  <c r="CM83" i="1" s="1"/>
  <c r="A220" i="10" s="1"/>
  <c r="I101" i="1"/>
  <c r="J101" i="1" s="1"/>
  <c r="CM86" i="1" s="1"/>
  <c r="A223" i="10" s="1"/>
  <c r="F19" i="1"/>
  <c r="F18" i="1"/>
  <c r="F125" i="2"/>
  <c r="F121" i="2"/>
  <c r="F115" i="2"/>
  <c r="F100" i="2"/>
  <c r="F96" i="2"/>
  <c r="F62" i="2"/>
  <c r="F51" i="2"/>
  <c r="F46" i="2"/>
  <c r="F44" i="2"/>
  <c r="F41" i="2"/>
  <c r="F37" i="2"/>
  <c r="F24" i="2"/>
  <c r="F22" i="2"/>
  <c r="F10" i="2"/>
  <c r="F9" i="2"/>
  <c r="F3" i="2"/>
  <c r="AU22" i="1"/>
  <c r="AR3" i="1"/>
  <c r="G101" i="1"/>
  <c r="G106" i="1"/>
  <c r="G111" i="1"/>
  <c r="G116" i="1"/>
  <c r="G121" i="1"/>
  <c r="G120" i="1"/>
  <c r="G119" i="1"/>
  <c r="G118" i="1"/>
  <c r="G115" i="1"/>
  <c r="G114" i="1"/>
  <c r="G113" i="1"/>
  <c r="G110" i="1"/>
  <c r="G109" i="1"/>
  <c r="G108" i="1"/>
  <c r="G105" i="1"/>
  <c r="G104" i="1"/>
  <c r="G103" i="1"/>
  <c r="G100" i="1"/>
  <c r="G99" i="1"/>
  <c r="G98" i="1"/>
  <c r="G123" i="1"/>
  <c r="G124" i="1"/>
  <c r="G125" i="1"/>
  <c r="CE176" i="1" l="1"/>
  <c r="CI176" i="1"/>
  <c r="CE175" i="1"/>
  <c r="CI175" i="1"/>
  <c r="CH175" i="1"/>
  <c r="CE177" i="1"/>
  <c r="CI177" i="1"/>
  <c r="CH177" i="1"/>
  <c r="CI179" i="1"/>
  <c r="CH179" i="1"/>
  <c r="CE179" i="1"/>
  <c r="CE178" i="1"/>
  <c r="CI178" i="1"/>
  <c r="CH178" i="1"/>
  <c r="J130" i="1"/>
  <c r="H88" i="6"/>
  <c r="H82" i="6"/>
  <c r="H74" i="6"/>
  <c r="H60" i="6"/>
  <c r="H80" i="6"/>
  <c r="H96" i="6"/>
  <c r="H94" i="6"/>
  <c r="H93" i="6"/>
  <c r="H89" i="6"/>
  <c r="H87" i="6"/>
  <c r="H83" i="6"/>
  <c r="H78" i="6"/>
  <c r="H77" i="6"/>
  <c r="H72" i="6"/>
  <c r="H71" i="6"/>
  <c r="H66" i="6"/>
  <c r="H64" i="6"/>
  <c r="H62" i="6"/>
  <c r="H79" i="6" l="1"/>
  <c r="H98" i="6"/>
  <c r="H86" i="6"/>
  <c r="H75" i="6"/>
  <c r="H70" i="6"/>
  <c r="H67" i="6"/>
  <c r="H65" i="6"/>
  <c r="H51" i="6"/>
  <c r="H33" i="6"/>
  <c r="H28" i="6"/>
  <c r="H47" i="6"/>
  <c r="H53" i="6"/>
  <c r="H50" i="6"/>
  <c r="H45" i="6"/>
  <c r="H46" i="6"/>
  <c r="H41" i="6"/>
  <c r="H48" i="6"/>
  <c r="H43" i="6"/>
  <c r="H44" i="6"/>
  <c r="H42" i="6"/>
  <c r="H38" i="6"/>
  <c r="H35" i="6"/>
  <c r="H30" i="6"/>
  <c r="H23" i="6"/>
  <c r="H19" i="6"/>
  <c r="H18" i="6"/>
  <c r="H17" i="6"/>
  <c r="H16" i="6"/>
  <c r="H15" i="6"/>
  <c r="H12" i="6"/>
  <c r="H11" i="6"/>
  <c r="H7" i="6"/>
  <c r="H52" i="6"/>
  <c r="H39" i="6"/>
  <c r="H34" i="6"/>
  <c r="H32" i="6"/>
  <c r="H24" i="6"/>
  <c r="H21" i="6"/>
  <c r="H14" i="6"/>
  <c r="H10" i="6"/>
  <c r="H8" i="6"/>
  <c r="H61" i="6" l="1"/>
  <c r="H57" i="6"/>
  <c r="H56" i="6"/>
  <c r="H26" i="6"/>
  <c r="H13" i="6"/>
  <c r="H5" i="6"/>
  <c r="H4" i="6"/>
  <c r="H3" i="6"/>
  <c r="F118" i="2"/>
  <c r="H120" i="2"/>
  <c r="F120" i="2"/>
  <c r="F57" i="2" l="1"/>
  <c r="F47" i="2"/>
  <c r="F11" i="2"/>
  <c r="F67" i="2"/>
  <c r="F6" i="2" l="1"/>
  <c r="F73" i="2"/>
  <c r="D31" i="1" l="1"/>
  <c r="CJ15" i="1" l="1"/>
  <c r="A44" i="10"/>
  <c r="R71" i="1" l="1"/>
  <c r="R74" i="1"/>
  <c r="R73" i="1"/>
  <c r="AX66" i="1"/>
  <c r="AY66" i="1" s="1"/>
  <c r="BA66" i="1" s="1"/>
  <c r="AY74" i="1"/>
  <c r="AY73" i="1"/>
  <c r="AX69" i="1"/>
  <c r="AY69" i="1" s="1"/>
  <c r="BA69" i="1" s="1"/>
  <c r="AX68" i="1"/>
  <c r="AY68" i="1" s="1"/>
  <c r="BA68" i="1" s="1"/>
  <c r="AX67" i="1"/>
  <c r="AY67" i="1" s="1"/>
  <c r="BA67" i="1" s="1"/>
  <c r="AX65" i="1"/>
  <c r="AY65" i="1" s="1"/>
  <c r="BA65" i="1" s="1"/>
  <c r="AX64" i="1"/>
  <c r="AY64" i="1" s="1"/>
  <c r="BA64" i="1" s="1"/>
  <c r="AX63" i="1"/>
  <c r="AY63" i="1" s="1"/>
  <c r="BA63" i="1" s="1"/>
  <c r="AX62" i="1"/>
  <c r="AY62" i="1" s="1"/>
  <c r="BA62" i="1" s="1"/>
  <c r="AX61" i="1"/>
  <c r="AY61" i="1" s="1"/>
  <c r="BA61" i="1" s="1"/>
  <c r="Z71" i="1"/>
  <c r="N71" i="1" l="1"/>
  <c r="S71" i="1" l="1"/>
  <c r="A99" i="10"/>
  <c r="A100" i="10"/>
  <c r="B339" i="3"/>
  <c r="B336" i="3"/>
  <c r="B340" i="3"/>
  <c r="B338" i="3"/>
  <c r="B337" i="3"/>
  <c r="Z133" i="1"/>
  <c r="Y133" i="1"/>
  <c r="Z132" i="1"/>
  <c r="Y132" i="1"/>
  <c r="Z131" i="1"/>
  <c r="Y131" i="1"/>
  <c r="Z130" i="1"/>
  <c r="Y130" i="1"/>
  <c r="Z129" i="1"/>
  <c r="Y129" i="1"/>
  <c r="Z128" i="1"/>
  <c r="Y128" i="1"/>
  <c r="Z127" i="1"/>
  <c r="Y127" i="1"/>
  <c r="Z126" i="1"/>
  <c r="Y126" i="1"/>
  <c r="Z125" i="1"/>
  <c r="Y125" i="1"/>
  <c r="Z124" i="1"/>
  <c r="Y124" i="1"/>
  <c r="Z123" i="1"/>
  <c r="Y123" i="1"/>
  <c r="Z122" i="1"/>
  <c r="Y122" i="1"/>
  <c r="Z121" i="1"/>
  <c r="Y121" i="1"/>
  <c r="Z120" i="1"/>
  <c r="Y120" i="1"/>
  <c r="Z119" i="1"/>
  <c r="Y119" i="1"/>
  <c r="Z118" i="1"/>
  <c r="Y118" i="1"/>
  <c r="Z117" i="1"/>
  <c r="Y117" i="1"/>
  <c r="Z116" i="1"/>
  <c r="Y116" i="1"/>
  <c r="Z115" i="1"/>
  <c r="Y115" i="1"/>
  <c r="Z114" i="1"/>
  <c r="Y114" i="1"/>
  <c r="Z113" i="1"/>
  <c r="Y113" i="1"/>
  <c r="Z112" i="1"/>
  <c r="Y112" i="1"/>
  <c r="Z111" i="1"/>
  <c r="Y111" i="1"/>
  <c r="Z110" i="1"/>
  <c r="Y110" i="1"/>
  <c r="Z109" i="1"/>
  <c r="Y109" i="1"/>
  <c r="Z108" i="1"/>
  <c r="Y108" i="1"/>
  <c r="Z107" i="1"/>
  <c r="Y107" i="1"/>
  <c r="Z106" i="1"/>
  <c r="Y106" i="1"/>
  <c r="Z105" i="1"/>
  <c r="Y105" i="1"/>
  <c r="Z104" i="1"/>
  <c r="Y104" i="1"/>
  <c r="Z103" i="1"/>
  <c r="Y103" i="1"/>
  <c r="Z102" i="1"/>
  <c r="Y102" i="1"/>
  <c r="Z101" i="1"/>
  <c r="Y101" i="1"/>
  <c r="Z100" i="1"/>
  <c r="Y100" i="1"/>
  <c r="Z99" i="1"/>
  <c r="Y99" i="1"/>
  <c r="Z98" i="1"/>
  <c r="Y98" i="1"/>
  <c r="Z97" i="1"/>
  <c r="Y97" i="1"/>
  <c r="Z96" i="1"/>
  <c r="Y96" i="1"/>
  <c r="Z95" i="1"/>
  <c r="Y95" i="1"/>
  <c r="Z94" i="1"/>
  <c r="Y94" i="1"/>
  <c r="Z93" i="1"/>
  <c r="Y93" i="1"/>
  <c r="Z92" i="1"/>
  <c r="Y92" i="1"/>
  <c r="Z91" i="1"/>
  <c r="Y91" i="1"/>
  <c r="Z90" i="1"/>
  <c r="Y90" i="1"/>
  <c r="Z89" i="1"/>
  <c r="Y89" i="1"/>
  <c r="Z88" i="1"/>
  <c r="Y88" i="1"/>
  <c r="AB60" i="1"/>
  <c r="Z74" i="1"/>
  <c r="Z73" i="1"/>
  <c r="Z72" i="1"/>
  <c r="Z69" i="1"/>
  <c r="Z68" i="1"/>
  <c r="Z67" i="1"/>
  <c r="Z66" i="1"/>
  <c r="Z65" i="1"/>
  <c r="Z64" i="1"/>
  <c r="Z63" i="1"/>
  <c r="Z62" i="1"/>
  <c r="Z61" i="1"/>
  <c r="Z60" i="1"/>
  <c r="P59" i="1"/>
  <c r="Q59" i="1"/>
  <c r="AX60" i="1"/>
  <c r="BE3" i="1"/>
  <c r="BE4" i="1"/>
  <c r="BE5" i="1"/>
  <c r="R72" i="1"/>
  <c r="O35" i="1"/>
  <c r="D41" i="1"/>
  <c r="J46" i="1"/>
  <c r="J57"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6" i="1"/>
  <c r="J55" i="1"/>
  <c r="J54" i="1"/>
  <c r="J53" i="1"/>
  <c r="J52" i="1"/>
  <c r="J51" i="1"/>
  <c r="J50" i="1"/>
  <c r="J49" i="1"/>
  <c r="J48" i="1"/>
  <c r="J47" i="1"/>
  <c r="E91" i="1"/>
  <c r="H88" i="1"/>
  <c r="I88" i="1" s="1"/>
  <c r="H90" i="1"/>
  <c r="I90" i="1" s="1"/>
  <c r="H87" i="1"/>
  <c r="I87" i="1" s="1"/>
  <c r="H86" i="1"/>
  <c r="I86" i="1" s="1"/>
  <c r="H85" i="1"/>
  <c r="I85" i="1" s="1"/>
  <c r="H84" i="1"/>
  <c r="I84" i="1" s="1"/>
  <c r="H83" i="1"/>
  <c r="I83" i="1" s="1"/>
  <c r="H82" i="1"/>
  <c r="I82" i="1" s="1"/>
  <c r="H81" i="1"/>
  <c r="I81" i="1" s="1"/>
  <c r="H80" i="1"/>
  <c r="I80" i="1" s="1"/>
  <c r="H79" i="1"/>
  <c r="I79" i="1" s="1"/>
  <c r="H78" i="1"/>
  <c r="I78" i="1" s="1"/>
  <c r="H76" i="1"/>
  <c r="I76" i="1" s="1"/>
  <c r="H75" i="1"/>
  <c r="I75" i="1" s="1"/>
  <c r="H74" i="1"/>
  <c r="I74" i="1" s="1"/>
  <c r="H73" i="1"/>
  <c r="I73" i="1" s="1"/>
  <c r="H72" i="1"/>
  <c r="I72" i="1" s="1"/>
  <c r="H71" i="1"/>
  <c r="I71" i="1" s="1"/>
  <c r="H70" i="1"/>
  <c r="I70" i="1" s="1"/>
  <c r="H69" i="1"/>
  <c r="I69" i="1" s="1"/>
  <c r="H68" i="1"/>
  <c r="I68" i="1" s="1"/>
  <c r="H67" i="1"/>
  <c r="I67" i="1" s="1"/>
  <c r="H66" i="1"/>
  <c r="I66"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AK49" i="1"/>
  <c r="AJ49" i="1"/>
  <c r="AK90" i="1"/>
  <c r="AJ90" i="1"/>
  <c r="AK89" i="1"/>
  <c r="AJ89" i="1"/>
  <c r="AK88" i="1"/>
  <c r="AJ88" i="1"/>
  <c r="AK87" i="1"/>
  <c r="AJ87" i="1"/>
  <c r="AK86" i="1"/>
  <c r="AJ86" i="1"/>
  <c r="AK85" i="1"/>
  <c r="AJ85" i="1"/>
  <c r="AK84" i="1"/>
  <c r="AJ84" i="1"/>
  <c r="AK83" i="1"/>
  <c r="AJ83" i="1"/>
  <c r="AK82" i="1"/>
  <c r="AJ82" i="1"/>
  <c r="AK81" i="1"/>
  <c r="AJ81" i="1"/>
  <c r="AK80" i="1"/>
  <c r="AJ80" i="1"/>
  <c r="AK79" i="1"/>
  <c r="AJ79" i="1"/>
  <c r="AK78" i="1"/>
  <c r="AJ78" i="1"/>
  <c r="AK77" i="1"/>
  <c r="AJ77" i="1"/>
  <c r="AK76" i="1"/>
  <c r="AJ76" i="1"/>
  <c r="AK75" i="1"/>
  <c r="AJ75" i="1"/>
  <c r="AK74" i="1"/>
  <c r="AJ74" i="1"/>
  <c r="AK73" i="1"/>
  <c r="AJ73" i="1"/>
  <c r="AK72" i="1"/>
  <c r="AJ72" i="1"/>
  <c r="AK71" i="1"/>
  <c r="AJ71" i="1"/>
  <c r="AK70" i="1"/>
  <c r="AJ70" i="1"/>
  <c r="AK69" i="1"/>
  <c r="AJ69" i="1"/>
  <c r="AK68" i="1"/>
  <c r="AJ68" i="1"/>
  <c r="AK67" i="1"/>
  <c r="AJ67" i="1"/>
  <c r="AK66" i="1"/>
  <c r="AJ66" i="1"/>
  <c r="AK65" i="1"/>
  <c r="AJ65" i="1"/>
  <c r="AK64" i="1"/>
  <c r="AJ64" i="1"/>
  <c r="AK63" i="1"/>
  <c r="AJ63" i="1"/>
  <c r="AK62" i="1"/>
  <c r="AJ62" i="1"/>
  <c r="AK61" i="1"/>
  <c r="AJ61" i="1"/>
  <c r="AK60" i="1"/>
  <c r="AJ60" i="1"/>
  <c r="AK59" i="1"/>
  <c r="AJ59" i="1"/>
  <c r="AK58" i="1"/>
  <c r="AJ58" i="1"/>
  <c r="AK57" i="1"/>
  <c r="AJ57" i="1"/>
  <c r="AK56" i="1"/>
  <c r="AJ56" i="1"/>
  <c r="AK55" i="1"/>
  <c r="AJ55" i="1"/>
  <c r="AK54" i="1"/>
  <c r="AJ54" i="1"/>
  <c r="AK53" i="1"/>
  <c r="AJ53" i="1"/>
  <c r="AK52" i="1"/>
  <c r="AJ52" i="1"/>
  <c r="AK51" i="1"/>
  <c r="AJ51" i="1"/>
  <c r="AK50" i="1"/>
  <c r="AJ50" i="1"/>
  <c r="AK48" i="1"/>
  <c r="AJ48" i="1"/>
  <c r="AK47" i="1"/>
  <c r="AJ47" i="1"/>
  <c r="D47" i="1" s="1"/>
  <c r="AK46" i="1"/>
  <c r="AJ46" i="1"/>
  <c r="AU169" i="1" l="1"/>
  <c r="AU38" i="1"/>
  <c r="AU166" i="1"/>
  <c r="AU128" i="1"/>
  <c r="BG51" i="1"/>
  <c r="BG44" i="1"/>
  <c r="BG50" i="1"/>
  <c r="CH28" i="1"/>
  <c r="CL50" i="1"/>
  <c r="H31" i="1"/>
  <c r="I31" i="1" s="1"/>
  <c r="D46" i="1"/>
  <c r="AL50" i="1"/>
  <c r="D50" i="1"/>
  <c r="A125" i="10" s="1"/>
  <c r="AL52" i="1"/>
  <c r="D52" i="1"/>
  <c r="A127" i="10" s="1"/>
  <c r="AL54" i="1"/>
  <c r="D54" i="1"/>
  <c r="A129" i="10" s="1"/>
  <c r="AL56" i="1"/>
  <c r="D56" i="1"/>
  <c r="A131" i="10" s="1"/>
  <c r="AL58" i="1"/>
  <c r="D58" i="1"/>
  <c r="A133" i="10" s="1"/>
  <c r="AL60" i="1"/>
  <c r="D60" i="1"/>
  <c r="A135" i="10" s="1"/>
  <c r="AL62" i="1"/>
  <c r="D62" i="1"/>
  <c r="A137" i="10" s="1"/>
  <c r="AL64" i="1"/>
  <c r="D64" i="1"/>
  <c r="A139" i="10" s="1"/>
  <c r="AL66" i="1"/>
  <c r="D66" i="1"/>
  <c r="A141" i="10" s="1"/>
  <c r="AL68" i="1"/>
  <c r="D68" i="1"/>
  <c r="A143" i="10" s="1"/>
  <c r="AL70" i="1"/>
  <c r="D70" i="1"/>
  <c r="A145" i="10" s="1"/>
  <c r="AL72" i="1"/>
  <c r="D72" i="1"/>
  <c r="A147" i="10" s="1"/>
  <c r="AL74" i="1"/>
  <c r="D74" i="1"/>
  <c r="A149" i="10" s="1"/>
  <c r="AL76" i="1"/>
  <c r="D76" i="1"/>
  <c r="A151" i="10" s="1"/>
  <c r="AL78" i="1"/>
  <c r="D78" i="1"/>
  <c r="A153" i="10" s="1"/>
  <c r="AL80" i="1"/>
  <c r="D80" i="1"/>
  <c r="A155" i="10" s="1"/>
  <c r="AL82" i="1"/>
  <c r="D82" i="1"/>
  <c r="A157" i="10" s="1"/>
  <c r="AL84" i="1"/>
  <c r="D84" i="1"/>
  <c r="A159" i="10" s="1"/>
  <c r="AL86" i="1"/>
  <c r="D86" i="1"/>
  <c r="A161" i="10" s="1"/>
  <c r="AL88" i="1"/>
  <c r="D88" i="1"/>
  <c r="A163" i="10" s="1"/>
  <c r="AL90" i="1"/>
  <c r="D90" i="1"/>
  <c r="A165" i="10" s="1"/>
  <c r="AL48" i="1"/>
  <c r="D48" i="1"/>
  <c r="A123" i="10" s="1"/>
  <c r="AL51" i="1"/>
  <c r="D51" i="1"/>
  <c r="A126" i="10" s="1"/>
  <c r="AL53" i="1"/>
  <c r="D53" i="1"/>
  <c r="A128" i="10" s="1"/>
  <c r="AL55" i="1"/>
  <c r="D55" i="1"/>
  <c r="A130" i="10" s="1"/>
  <c r="AL57" i="1"/>
  <c r="D57" i="1"/>
  <c r="A132" i="10" s="1"/>
  <c r="AL59" i="1"/>
  <c r="D59" i="1"/>
  <c r="A134" i="10" s="1"/>
  <c r="AL61" i="1"/>
  <c r="D61" i="1"/>
  <c r="A136" i="10" s="1"/>
  <c r="AL63" i="1"/>
  <c r="D63" i="1"/>
  <c r="A138" i="10" s="1"/>
  <c r="AL65" i="1"/>
  <c r="D65" i="1"/>
  <c r="A140" i="10" s="1"/>
  <c r="AL67" i="1"/>
  <c r="D67" i="1"/>
  <c r="A142" i="10" s="1"/>
  <c r="AL69" i="1"/>
  <c r="D69" i="1"/>
  <c r="A144" i="10" s="1"/>
  <c r="AL71" i="1"/>
  <c r="D71" i="1"/>
  <c r="A146" i="10" s="1"/>
  <c r="AL73" i="1"/>
  <c r="D73" i="1"/>
  <c r="A148" i="10" s="1"/>
  <c r="AL75" i="1"/>
  <c r="D75" i="1"/>
  <c r="A150" i="10" s="1"/>
  <c r="AL77" i="1"/>
  <c r="D77" i="1"/>
  <c r="A152" i="10" s="1"/>
  <c r="AL79" i="1"/>
  <c r="D79" i="1"/>
  <c r="A154" i="10" s="1"/>
  <c r="AL81" i="1"/>
  <c r="D81" i="1"/>
  <c r="A156" i="10" s="1"/>
  <c r="AL83" i="1"/>
  <c r="D83" i="1"/>
  <c r="A158" i="10" s="1"/>
  <c r="AL85" i="1"/>
  <c r="D85" i="1"/>
  <c r="A160" i="10" s="1"/>
  <c r="AL87" i="1"/>
  <c r="D87" i="1"/>
  <c r="A162" i="10" s="1"/>
  <c r="AL89" i="1"/>
  <c r="D89" i="1"/>
  <c r="A164" i="10" s="1"/>
  <c r="AL49" i="1"/>
  <c r="D49" i="1"/>
  <c r="A124" i="10" s="1"/>
  <c r="AL47" i="1"/>
  <c r="H47" i="1" s="1"/>
  <c r="I47" i="1" s="1"/>
  <c r="A122" i="10"/>
  <c r="CF24" i="1"/>
  <c r="CQ184" i="1"/>
  <c r="H89" i="1"/>
  <c r="I89" i="1" s="1"/>
  <c r="CF54" i="1"/>
  <c r="H77" i="1"/>
  <c r="I77" i="1" s="1"/>
  <c r="V12" i="1"/>
  <c r="CH49" i="1"/>
  <c r="A15" i="10"/>
  <c r="CR6" i="1"/>
  <c r="AZ74" i="1"/>
  <c r="BA74" i="1" s="1"/>
  <c r="N69" i="1"/>
  <c r="N67" i="1"/>
  <c r="N64" i="1"/>
  <c r="N62" i="1"/>
  <c r="N61" i="1"/>
  <c r="CP64" i="1" s="1"/>
  <c r="N66" i="1"/>
  <c r="AZ73" i="1"/>
  <c r="BA73" i="1" s="1"/>
  <c r="N68" i="1"/>
  <c r="N65" i="1"/>
  <c r="N63" i="1"/>
  <c r="V17" i="1"/>
  <c r="M10" i="1"/>
  <c r="M11" i="1" s="1"/>
  <c r="AX72" i="1"/>
  <c r="AY72" i="1" s="1"/>
  <c r="AZ72" i="1"/>
  <c r="AY60" i="1"/>
  <c r="AL46" i="1"/>
  <c r="AU127" i="1"/>
  <c r="I54" i="2" l="1"/>
  <c r="C54" i="2"/>
  <c r="I75" i="2"/>
  <c r="C75" i="2"/>
  <c r="C28" i="2"/>
  <c r="C61" i="2"/>
  <c r="C95" i="2"/>
  <c r="C26" i="2"/>
  <c r="I60" i="2"/>
  <c r="C106" i="2"/>
  <c r="I106" i="2"/>
  <c r="C86" i="2"/>
  <c r="C84" i="2"/>
  <c r="C85" i="2"/>
  <c r="CR64" i="1"/>
  <c r="C94" i="2"/>
  <c r="C58" i="2"/>
  <c r="C82" i="2"/>
  <c r="C23" i="2"/>
  <c r="C113" i="2"/>
  <c r="C30" i="2"/>
  <c r="C32" i="2"/>
  <c r="I108" i="2"/>
  <c r="I113" i="2"/>
  <c r="I58" i="2"/>
  <c r="I23" i="2"/>
  <c r="H46" i="1"/>
  <c r="AW48" i="1"/>
  <c r="F183" i="1"/>
  <c r="AU149" i="1"/>
  <c r="I36" i="2"/>
  <c r="CC88" i="1"/>
  <c r="CE88" i="1" s="1"/>
  <c r="I111" i="2"/>
  <c r="I94" i="2"/>
  <c r="I82" i="2"/>
  <c r="I42" i="2"/>
  <c r="I22" i="2"/>
  <c r="I32" i="2"/>
  <c r="I86" i="2"/>
  <c r="I85" i="2"/>
  <c r="I84" i="2"/>
  <c r="I61" i="2"/>
  <c r="I26" i="2"/>
  <c r="I28" i="2"/>
  <c r="BG53" i="1"/>
  <c r="S63" i="1"/>
  <c r="T63" i="1" s="1"/>
  <c r="BG46" i="1"/>
  <c r="BG45" i="1"/>
  <c r="BG48" i="1"/>
  <c r="BG47" i="1"/>
  <c r="BG52" i="1"/>
  <c r="CF23" i="1"/>
  <c r="I46" i="1"/>
  <c r="A121" i="10"/>
  <c r="BA72" i="1"/>
  <c r="N72" i="1" s="1"/>
  <c r="I30" i="2" s="1"/>
  <c r="R12" i="1"/>
  <c r="BA60" i="1"/>
  <c r="N60" i="1" s="1"/>
  <c r="I45" i="2"/>
  <c r="S67" i="1"/>
  <c r="T67" i="1" s="1"/>
  <c r="CC84" i="1"/>
  <c r="CC87" i="1"/>
  <c r="CC86" i="1"/>
  <c r="CC85" i="1"/>
  <c r="A92" i="10"/>
  <c r="CC72" i="1"/>
  <c r="CC68" i="1"/>
  <c r="CC71" i="1"/>
  <c r="CI71" i="1" s="1"/>
  <c r="CC70" i="1"/>
  <c r="CI70" i="1" s="1"/>
  <c r="CC69" i="1"/>
  <c r="A88" i="10"/>
  <c r="CC100" i="1"/>
  <c r="CE100" i="1"/>
  <c r="A96" i="10"/>
  <c r="C79" i="2"/>
  <c r="CH15" i="1"/>
  <c r="CE99" i="1"/>
  <c r="CC99" i="1"/>
  <c r="A95" i="10"/>
  <c r="CE73" i="1"/>
  <c r="CC73" i="1"/>
  <c r="A89" i="10"/>
  <c r="CC80" i="1"/>
  <c r="CC83" i="1"/>
  <c r="CC79" i="1"/>
  <c r="CC82" i="1"/>
  <c r="CI82" i="1" s="1"/>
  <c r="CC81" i="1"/>
  <c r="A91" i="10"/>
  <c r="CC92" i="1"/>
  <c r="CC91" i="1"/>
  <c r="CC90" i="1"/>
  <c r="CC93" i="1"/>
  <c r="CC89" i="1"/>
  <c r="A93" i="10"/>
  <c r="CC76" i="1"/>
  <c r="CC75" i="1"/>
  <c r="CC74" i="1"/>
  <c r="CC78" i="1"/>
  <c r="CC77" i="1"/>
  <c r="A90" i="10"/>
  <c r="CC98" i="1"/>
  <c r="CC97" i="1"/>
  <c r="CC95" i="1"/>
  <c r="CE95" i="1" s="1"/>
  <c r="CC96" i="1"/>
  <c r="CC94" i="1"/>
  <c r="CH94" i="1" s="1"/>
  <c r="A94" i="10"/>
  <c r="I47" i="2"/>
  <c r="I83" i="2"/>
  <c r="I38" i="2"/>
  <c r="I76" i="2"/>
  <c r="I44" i="2"/>
  <c r="I116" i="2"/>
  <c r="I63" i="2"/>
  <c r="I79" i="2"/>
  <c r="I12" i="2"/>
  <c r="I27" i="2"/>
  <c r="I89" i="2"/>
  <c r="S65" i="1"/>
  <c r="T65" i="1" s="1"/>
  <c r="I9" i="2"/>
  <c r="I81" i="2"/>
  <c r="I24" i="2"/>
  <c r="I115" i="2"/>
  <c r="S61" i="1"/>
  <c r="T61" i="1" s="1"/>
  <c r="S69" i="1"/>
  <c r="T69" i="1" s="1"/>
  <c r="I102" i="2"/>
  <c r="I107" i="2"/>
  <c r="I98" i="2"/>
  <c r="I67" i="2"/>
  <c r="I93" i="2"/>
  <c r="I51" i="2"/>
  <c r="I37" i="2"/>
  <c r="I68" i="2"/>
  <c r="I121" i="2"/>
  <c r="I55" i="2"/>
  <c r="I109" i="2"/>
  <c r="I91" i="2"/>
  <c r="I3" i="2"/>
  <c r="I53" i="2"/>
  <c r="I103" i="2"/>
  <c r="I46" i="2"/>
  <c r="I92" i="2"/>
  <c r="I16" i="2"/>
  <c r="I117" i="2"/>
  <c r="I105" i="2"/>
  <c r="I97" i="2"/>
  <c r="I14" i="2"/>
  <c r="S68" i="1"/>
  <c r="T68" i="1" s="1"/>
  <c r="I100" i="2"/>
  <c r="S62" i="1"/>
  <c r="T62" i="1" s="1"/>
  <c r="I41" i="2"/>
  <c r="I71" i="2"/>
  <c r="I48" i="2"/>
  <c r="I126" i="2"/>
  <c r="I96" i="2"/>
  <c r="N73" i="1"/>
  <c r="I124" i="2"/>
  <c r="I35" i="2"/>
  <c r="I64" i="2"/>
  <c r="S64" i="1"/>
  <c r="T64" i="1" s="1"/>
  <c r="I65" i="2"/>
  <c r="I39" i="2"/>
  <c r="I88" i="2"/>
  <c r="I78" i="2"/>
  <c r="I62" i="2"/>
  <c r="I114" i="2"/>
  <c r="I31" i="2"/>
  <c r="I34" i="2"/>
  <c r="I33" i="2"/>
  <c r="N74" i="1"/>
  <c r="T71" i="1"/>
  <c r="M12" i="1"/>
  <c r="I122" i="2"/>
  <c r="I77" i="2"/>
  <c r="I10" i="2"/>
  <c r="I40" i="2"/>
  <c r="I66" i="2"/>
  <c r="I52" i="2"/>
  <c r="I70" i="2"/>
  <c r="I69" i="2"/>
  <c r="I50" i="2"/>
  <c r="I19" i="2"/>
  <c r="I8" i="2"/>
  <c r="I56" i="2"/>
  <c r="S66" i="1"/>
  <c r="T66" i="1" s="1"/>
  <c r="C25" i="2" l="1"/>
  <c r="C20" i="2"/>
  <c r="C68" i="6"/>
  <c r="C69" i="6"/>
  <c r="C76" i="6"/>
  <c r="C63" i="6"/>
  <c r="C84" i="6"/>
  <c r="A97" i="10"/>
  <c r="C111" i="2"/>
  <c r="C110" i="2"/>
  <c r="C4" i="2"/>
  <c r="I4" i="2"/>
  <c r="I110" i="2"/>
  <c r="AU131" i="1"/>
  <c r="I25" i="2"/>
  <c r="I20" i="2"/>
  <c r="I95" i="2"/>
  <c r="CC65" i="1"/>
  <c r="CI65" i="1" s="1"/>
  <c r="CC67" i="1"/>
  <c r="CE67" i="1" s="1"/>
  <c r="I101" i="2"/>
  <c r="I87" i="2"/>
  <c r="I11" i="2"/>
  <c r="I59" i="2"/>
  <c r="AU83" i="1"/>
  <c r="I57" i="2"/>
  <c r="CC64" i="1"/>
  <c r="CE64" i="1" s="1"/>
  <c r="I123" i="2"/>
  <c r="I15" i="2"/>
  <c r="AU82" i="1"/>
  <c r="I43" i="2"/>
  <c r="A87" i="10"/>
  <c r="I120" i="2"/>
  <c r="CC63" i="1"/>
  <c r="CI63" i="1" s="1"/>
  <c r="S60" i="1"/>
  <c r="T60" i="1" s="1"/>
  <c r="I72" i="2"/>
  <c r="CC66" i="1"/>
  <c r="CE66" i="1" s="1"/>
  <c r="CC174" i="1"/>
  <c r="CI174" i="1"/>
  <c r="CH96" i="1"/>
  <c r="CE96" i="1"/>
  <c r="CI96" i="1"/>
  <c r="CI75" i="1"/>
  <c r="CE75" i="1"/>
  <c r="CI93" i="1"/>
  <c r="CE93" i="1"/>
  <c r="CI92" i="1"/>
  <c r="CE92" i="1"/>
  <c r="CE79" i="1"/>
  <c r="CI79" i="1"/>
  <c r="CE65" i="1"/>
  <c r="CI69" i="1"/>
  <c r="CE69" i="1"/>
  <c r="CI68" i="1"/>
  <c r="CH68" i="1"/>
  <c r="CE68" i="1"/>
  <c r="CE86" i="1"/>
  <c r="CI86" i="1"/>
  <c r="CI77" i="1"/>
  <c r="CE77" i="1"/>
  <c r="CI76" i="1"/>
  <c r="CE76" i="1"/>
  <c r="CE83" i="1"/>
  <c r="CI83" i="1"/>
  <c r="CE70" i="1"/>
  <c r="CI72" i="1"/>
  <c r="CE72" i="1"/>
  <c r="CE87" i="1"/>
  <c r="CI87" i="1"/>
  <c r="X134" i="1"/>
  <c r="A105" i="10"/>
  <c r="CI173" i="1"/>
  <c r="CC173" i="1"/>
  <c r="A104" i="10"/>
  <c r="CE97" i="1"/>
  <c r="CI97" i="1"/>
  <c r="CH97" i="1"/>
  <c r="CE78" i="1"/>
  <c r="CI78" i="1"/>
  <c r="CH90" i="1"/>
  <c r="CE90" i="1"/>
  <c r="CI90" i="1"/>
  <c r="CI81" i="1"/>
  <c r="CE81" i="1"/>
  <c r="CI80" i="1"/>
  <c r="CE80" i="1"/>
  <c r="CE71" i="1"/>
  <c r="CI84" i="1"/>
  <c r="CE84" i="1"/>
  <c r="CC102" i="1"/>
  <c r="CC105" i="1"/>
  <c r="CC101" i="1"/>
  <c r="CC104" i="1"/>
  <c r="CC103" i="1"/>
  <c r="A102" i="10"/>
  <c r="CE94" i="1"/>
  <c r="CI94" i="1"/>
  <c r="CI98" i="1"/>
  <c r="CH98" i="1"/>
  <c r="CE98" i="1"/>
  <c r="CE74" i="1"/>
  <c r="CI74" i="1"/>
  <c r="CI89" i="1"/>
  <c r="CE89" i="1"/>
  <c r="CE91" i="1"/>
  <c r="CI91" i="1"/>
  <c r="CE82" i="1"/>
  <c r="CI85" i="1"/>
  <c r="CE85" i="1"/>
  <c r="CI88" i="1"/>
  <c r="S74" i="1"/>
  <c r="T74" i="1" s="1"/>
  <c r="S73" i="1"/>
  <c r="T73" i="1" s="1"/>
  <c r="I18" i="2"/>
  <c r="S72" i="1"/>
  <c r="T72" i="1" s="1"/>
  <c r="F212" i="3"/>
  <c r="F211" i="3"/>
  <c r="B302" i="3"/>
  <c r="B261" i="3"/>
  <c r="B93" i="3"/>
  <c r="B265" i="3"/>
  <c r="B91" i="3"/>
  <c r="B264" i="3"/>
  <c r="B290" i="3"/>
  <c r="B305" i="3"/>
  <c r="B92" i="3"/>
  <c r="B94" i="3"/>
  <c r="B289" i="3"/>
  <c r="B301" i="3"/>
  <c r="B304" i="3"/>
  <c r="B288" i="3"/>
  <c r="B286" i="3"/>
  <c r="B263" i="3"/>
  <c r="B262" i="3"/>
  <c r="B95" i="3"/>
  <c r="B303" i="3"/>
  <c r="B287" i="3"/>
  <c r="AU138" i="1"/>
  <c r="AU13" i="1"/>
  <c r="F25" i="5"/>
  <c r="CH46" i="1"/>
  <c r="AU154" i="1"/>
  <c r="CI64" i="1" l="1"/>
  <c r="CI67" i="1"/>
  <c r="CI66" i="1"/>
  <c r="CE63" i="1"/>
  <c r="D186" i="1"/>
  <c r="A21" i="10"/>
  <c r="CE105" i="1"/>
  <c r="CI105" i="1"/>
  <c r="CH105" i="1"/>
  <c r="CI103" i="1"/>
  <c r="CH103" i="1"/>
  <c r="CE103" i="1"/>
  <c r="CI102" i="1"/>
  <c r="CH102" i="1"/>
  <c r="CE102" i="1"/>
  <c r="CH104" i="1"/>
  <c r="CE104" i="1"/>
  <c r="CI104" i="1"/>
  <c r="CE101" i="1"/>
  <c r="CI101" i="1"/>
  <c r="CH101" i="1"/>
  <c r="AU64" i="1"/>
  <c r="AU65" i="1"/>
  <c r="AU110" i="1"/>
  <c r="AU167" i="1"/>
  <c r="AU157" i="1"/>
  <c r="AU176" i="1"/>
  <c r="A27" i="10" l="1"/>
  <c r="CO63" i="1"/>
  <c r="CP63" i="1"/>
  <c r="CM45" i="1"/>
  <c r="CM46" i="1"/>
  <c r="AU5" i="1"/>
  <c r="AU4" i="1"/>
  <c r="AU101" i="1"/>
  <c r="AU165" i="1"/>
  <c r="AU164" i="1"/>
  <c r="AU95" i="1"/>
  <c r="AU40" i="1"/>
  <c r="AU39" i="1"/>
  <c r="AU116" i="1"/>
  <c r="AU84" i="1"/>
  <c r="AU171" i="1"/>
  <c r="AU170" i="1"/>
  <c r="AU158" i="1"/>
  <c r="AU111" i="1" l="1"/>
  <c r="AU96" i="1"/>
  <c r="AU88" i="1"/>
  <c r="N27" i="1" l="1"/>
  <c r="H41" i="1"/>
  <c r="I41" i="1" s="1"/>
  <c r="D24" i="1"/>
  <c r="D45" i="1"/>
  <c r="J45" i="1" s="1"/>
  <c r="D44" i="1"/>
  <c r="D43" i="1"/>
  <c r="B43" i="1"/>
  <c r="D42" i="1"/>
  <c r="AU23" i="1" s="1"/>
  <c r="B42" i="1"/>
  <c r="J41" i="1"/>
  <c r="O55" i="1"/>
  <c r="Y54" i="1"/>
  <c r="N54" i="1"/>
  <c r="Y53" i="1"/>
  <c r="N53" i="1"/>
  <c r="AU153" i="1" s="1"/>
  <c r="Y52" i="1"/>
  <c r="N52" i="1"/>
  <c r="Y51" i="1"/>
  <c r="N51" i="1"/>
  <c r="AU33" i="1" s="1"/>
  <c r="Y50" i="1"/>
  <c r="N50" i="1"/>
  <c r="Y49" i="1"/>
  <c r="N49" i="1"/>
  <c r="AU155" i="1" s="1"/>
  <c r="Y48" i="1"/>
  <c r="N48" i="1"/>
  <c r="AU43" i="1" s="1"/>
  <c r="Y47" i="1"/>
  <c r="N47" i="1"/>
  <c r="O45" i="1"/>
  <c r="Y44" i="1"/>
  <c r="N44" i="1"/>
  <c r="Y43" i="1"/>
  <c r="N43" i="1"/>
  <c r="Y42" i="1"/>
  <c r="N42" i="1"/>
  <c r="Y41" i="1"/>
  <c r="N41" i="1"/>
  <c r="Y40" i="1"/>
  <c r="N40" i="1"/>
  <c r="Y39" i="1"/>
  <c r="N39" i="1"/>
  <c r="Y38" i="1"/>
  <c r="N38" i="1"/>
  <c r="Y37" i="1"/>
  <c r="N37" i="1"/>
  <c r="Y34" i="1"/>
  <c r="N34" i="1"/>
  <c r="AU89" i="1" s="1"/>
  <c r="Y33" i="1"/>
  <c r="N33" i="1"/>
  <c r="AU30" i="1" s="1"/>
  <c r="Y32" i="1"/>
  <c r="N32" i="1"/>
  <c r="Y31" i="1"/>
  <c r="N31" i="1"/>
  <c r="Y30" i="1"/>
  <c r="N30" i="1"/>
  <c r="Y29" i="1"/>
  <c r="N29" i="1"/>
  <c r="Y28" i="1"/>
  <c r="N28" i="1"/>
  <c r="Y21" i="1"/>
  <c r="W21" i="1"/>
  <c r="Y20" i="1"/>
  <c r="W20" i="1"/>
  <c r="Y19" i="1"/>
  <c r="W19" i="1"/>
  <c r="Y18" i="1"/>
  <c r="W18" i="1"/>
  <c r="Y17" i="1"/>
  <c r="Y16" i="1"/>
  <c r="W16" i="1"/>
  <c r="Y15" i="1"/>
  <c r="W15" i="1"/>
  <c r="Y14" i="1"/>
  <c r="W14" i="1"/>
  <c r="Y13" i="1"/>
  <c r="W13" i="1"/>
  <c r="S13" i="1"/>
  <c r="Y12" i="1"/>
  <c r="W12" i="1"/>
  <c r="Y11" i="1"/>
  <c r="S11" i="1"/>
  <c r="R11" i="1"/>
  <c r="Y10" i="1"/>
  <c r="AG40" i="1"/>
  <c r="AH40" i="1"/>
  <c r="AI40" i="1"/>
  <c r="AF40" i="1"/>
  <c r="AE40" i="1"/>
  <c r="AE26" i="1"/>
  <c r="AE25" i="1"/>
  <c r="AE24" i="1"/>
  <c r="AE23" i="1"/>
  <c r="AE22" i="1"/>
  <c r="AE21" i="1"/>
  <c r="AE20" i="1"/>
  <c r="AE19" i="1"/>
  <c r="AE18" i="1"/>
  <c r="D26" i="1" s="1"/>
  <c r="AU152" i="1" s="1"/>
  <c r="AE17" i="1"/>
  <c r="E37" i="1"/>
  <c r="D35" i="1"/>
  <c r="E32" i="1"/>
  <c r="E27" i="1"/>
  <c r="C25" i="6" l="1"/>
  <c r="C30" i="6"/>
  <c r="C31" i="6"/>
  <c r="C49" i="6"/>
  <c r="AU106" i="1"/>
  <c r="AU108" i="1"/>
  <c r="AU21" i="1"/>
  <c r="AU146" i="1"/>
  <c r="AU7" i="1"/>
  <c r="AU8" i="1"/>
  <c r="AU9" i="1"/>
  <c r="D20" i="3"/>
  <c r="D21" i="3"/>
  <c r="CH51" i="1"/>
  <c r="CK29" i="1"/>
  <c r="CQ38" i="1"/>
  <c r="A82" i="10"/>
  <c r="CQ42" i="1"/>
  <c r="CQ19" i="1"/>
  <c r="A59" i="10"/>
  <c r="CQ23" i="1"/>
  <c r="CQ25" i="1"/>
  <c r="CQ30" i="1"/>
  <c r="A70" i="10"/>
  <c r="CQ32" i="1"/>
  <c r="CQ34" i="1"/>
  <c r="CE13" i="1"/>
  <c r="CH174" i="1"/>
  <c r="A77" i="10"/>
  <c r="CQ37" i="1"/>
  <c r="A79" i="10"/>
  <c r="CQ39" i="1"/>
  <c r="CQ41" i="1"/>
  <c r="CQ43" i="1"/>
  <c r="A119" i="10"/>
  <c r="CF20" i="1"/>
  <c r="CO14" i="1"/>
  <c r="CH173" i="1"/>
  <c r="CQ36" i="1"/>
  <c r="CQ40" i="1"/>
  <c r="CQ21" i="1"/>
  <c r="CQ28" i="1"/>
  <c r="CE15" i="1"/>
  <c r="CQ73" i="1"/>
  <c r="CQ20" i="1"/>
  <c r="CQ22" i="1"/>
  <c r="A60" i="10"/>
  <c r="CQ24" i="1"/>
  <c r="CQ27" i="1"/>
  <c r="A67" i="10"/>
  <c r="CQ29" i="1"/>
  <c r="CQ31" i="1"/>
  <c r="A71" i="10"/>
  <c r="CQ33" i="1"/>
  <c r="CQ18" i="1"/>
  <c r="A118" i="10"/>
  <c r="CF19" i="1"/>
  <c r="CC19" i="1"/>
  <c r="CF18" i="1"/>
  <c r="CC18" i="1"/>
  <c r="A120" i="10"/>
  <c r="CC21" i="1"/>
  <c r="CF21" i="1"/>
  <c r="CK32" i="1"/>
  <c r="CK19" i="1"/>
  <c r="CK26" i="1"/>
  <c r="CK25" i="1"/>
  <c r="CK27" i="1"/>
  <c r="CK20" i="1"/>
  <c r="CK18" i="1"/>
  <c r="CK21" i="1"/>
  <c r="CK24" i="1"/>
  <c r="CK23" i="1"/>
  <c r="CK22" i="1"/>
  <c r="CK33" i="1"/>
  <c r="CK28" i="1"/>
  <c r="CK34" i="1"/>
  <c r="A117" i="10"/>
  <c r="A38" i="10"/>
  <c r="CP72" i="1"/>
  <c r="Q47" i="1"/>
  <c r="R47" i="1" s="1"/>
  <c r="A76" i="10"/>
  <c r="A36" i="10"/>
  <c r="Q30" i="1"/>
  <c r="R30" i="1" s="1"/>
  <c r="A57" i="10"/>
  <c r="D295" i="3"/>
  <c r="A66" i="10"/>
  <c r="Q29" i="1"/>
  <c r="R29" i="1" s="1"/>
  <c r="A56" i="10"/>
  <c r="AU115" i="1"/>
  <c r="A58" i="10"/>
  <c r="AB51" i="5"/>
  <c r="A49" i="10"/>
  <c r="Q49" i="1"/>
  <c r="R49" i="1" s="1"/>
  <c r="A78" i="10"/>
  <c r="Q51" i="1"/>
  <c r="R51" i="1" s="1"/>
  <c r="A80" i="10"/>
  <c r="D252" i="3"/>
  <c r="A72" i="10"/>
  <c r="Q52" i="1"/>
  <c r="R52" i="1" s="1"/>
  <c r="A81" i="10"/>
  <c r="Q54" i="1"/>
  <c r="R54" i="1" s="1"/>
  <c r="A83" i="10"/>
  <c r="Q28" i="1"/>
  <c r="R28" i="1" s="1"/>
  <c r="A55" i="10"/>
  <c r="Q34" i="1"/>
  <c r="R34" i="1" s="1"/>
  <c r="A61" i="10"/>
  <c r="Q40" i="1"/>
  <c r="R40" i="1" s="1"/>
  <c r="A68" i="10"/>
  <c r="R21" i="1"/>
  <c r="CQ81" i="1" s="1"/>
  <c r="A65" i="10"/>
  <c r="AB52" i="5"/>
  <c r="Q41" i="1"/>
  <c r="R41" i="1" s="1"/>
  <c r="A69" i="10"/>
  <c r="Q27" i="1"/>
  <c r="R27" i="1" s="1"/>
  <c r="A54" i="10"/>
  <c r="R20" i="1"/>
  <c r="CQ80" i="1" s="1"/>
  <c r="D257" i="3"/>
  <c r="D251" i="3"/>
  <c r="D339" i="3"/>
  <c r="D337" i="3"/>
  <c r="D340" i="3"/>
  <c r="D338" i="3"/>
  <c r="D336" i="3"/>
  <c r="C97" i="6"/>
  <c r="C82" i="6"/>
  <c r="C74" i="6"/>
  <c r="C61" i="6"/>
  <c r="C88" i="6"/>
  <c r="C67" i="6"/>
  <c r="C56" i="6"/>
  <c r="C98" i="6"/>
  <c r="C86" i="6"/>
  <c r="C65" i="6"/>
  <c r="C57" i="6"/>
  <c r="C91" i="6"/>
  <c r="C80" i="6"/>
  <c r="C70" i="6"/>
  <c r="C60" i="6"/>
  <c r="C79" i="6"/>
  <c r="C75" i="6"/>
  <c r="C44" i="6"/>
  <c r="C45" i="6"/>
  <c r="C3" i="6"/>
  <c r="C4" i="6"/>
  <c r="C43" i="6"/>
  <c r="C89" i="6"/>
  <c r="C81" i="6"/>
  <c r="C66" i="6"/>
  <c r="C96" i="6"/>
  <c r="C78" i="6"/>
  <c r="C64" i="6"/>
  <c r="C95" i="6"/>
  <c r="C90" i="6"/>
  <c r="C77" i="6"/>
  <c r="C71" i="6"/>
  <c r="C62" i="6"/>
  <c r="C94" i="6"/>
  <c r="C83" i="6"/>
  <c r="C59" i="6"/>
  <c r="C93" i="6"/>
  <c r="C87" i="6"/>
  <c r="C73" i="6"/>
  <c r="C58" i="6"/>
  <c r="C92" i="6"/>
  <c r="C85" i="6"/>
  <c r="C72" i="6"/>
  <c r="C72" i="2"/>
  <c r="C71" i="2"/>
  <c r="C34" i="2"/>
  <c r="C104" i="2"/>
  <c r="C119" i="2"/>
  <c r="C27" i="2"/>
  <c r="C67" i="2"/>
  <c r="C31" i="2"/>
  <c r="C102" i="2"/>
  <c r="C12" i="2"/>
  <c r="C8" i="2"/>
  <c r="C40" i="2"/>
  <c r="C116" i="2"/>
  <c r="C22" i="2"/>
  <c r="C52" i="2"/>
  <c r="C53" i="6"/>
  <c r="C52" i="6"/>
  <c r="C50" i="6"/>
  <c r="C46" i="6"/>
  <c r="C41" i="6"/>
  <c r="CF119" i="1" s="1"/>
  <c r="C42" i="6"/>
  <c r="C39" i="6"/>
  <c r="C38" i="6"/>
  <c r="C36" i="6"/>
  <c r="C33" i="6"/>
  <c r="C28" i="6"/>
  <c r="C27" i="6"/>
  <c r="C24" i="6"/>
  <c r="C22" i="6"/>
  <c r="C21" i="6"/>
  <c r="C19" i="6"/>
  <c r="C17" i="6"/>
  <c r="C16" i="6"/>
  <c r="C14" i="6"/>
  <c r="C11" i="6"/>
  <c r="C10" i="6"/>
  <c r="C8" i="6"/>
  <c r="C7" i="6"/>
  <c r="C5" i="6"/>
  <c r="C51" i="6"/>
  <c r="C35" i="6"/>
  <c r="C29" i="6"/>
  <c r="C26" i="6"/>
  <c r="C23" i="6"/>
  <c r="C20" i="6"/>
  <c r="C15" i="6"/>
  <c r="C13" i="6"/>
  <c r="C123" i="2"/>
  <c r="C59" i="2"/>
  <c r="C47" i="6"/>
  <c r="C48" i="6"/>
  <c r="C40" i="6"/>
  <c r="C37" i="6"/>
  <c r="C34" i="6"/>
  <c r="C32" i="6"/>
  <c r="C18" i="6"/>
  <c r="C12" i="6"/>
  <c r="C9" i="6"/>
  <c r="C6" i="6"/>
  <c r="C35" i="2"/>
  <c r="C83" i="2"/>
  <c r="C77" i="2"/>
  <c r="C39" i="2"/>
  <c r="C91" i="2"/>
  <c r="C5" i="2"/>
  <c r="C21" i="2"/>
  <c r="C81" i="2"/>
  <c r="C93" i="2"/>
  <c r="C18" i="2"/>
  <c r="C10" i="2"/>
  <c r="C9" i="2"/>
  <c r="AU163" i="1"/>
  <c r="C19" i="2"/>
  <c r="C120" i="2"/>
  <c r="C53" i="2"/>
  <c r="D120" i="3"/>
  <c r="D81" i="3"/>
  <c r="D249" i="3"/>
  <c r="D199" i="3"/>
  <c r="D169" i="3"/>
  <c r="D236" i="3"/>
  <c r="D156" i="3"/>
  <c r="D308" i="3"/>
  <c r="D143" i="3"/>
  <c r="D222" i="3"/>
  <c r="D152" i="3"/>
  <c r="D107" i="3"/>
  <c r="D240" i="3"/>
  <c r="D155" i="3"/>
  <c r="D323" i="3"/>
  <c r="D322" i="3"/>
  <c r="D170" i="3"/>
  <c r="D161" i="3"/>
  <c r="D223" i="3"/>
  <c r="D97" i="3"/>
  <c r="D154" i="3"/>
  <c r="D237" i="3"/>
  <c r="D117" i="3"/>
  <c r="D27" i="3"/>
  <c r="CH87" i="1" s="1"/>
  <c r="D130" i="3"/>
  <c r="D299" i="3"/>
  <c r="D239" i="3"/>
  <c r="D298" i="3"/>
  <c r="D108" i="3"/>
  <c r="D167" i="3"/>
  <c r="D142" i="3"/>
  <c r="D25" i="3"/>
  <c r="CH85" i="1" s="1"/>
  <c r="D6" i="3"/>
  <c r="CH66" i="1" s="1"/>
  <c r="D3" i="3"/>
  <c r="CH63" i="1" s="1"/>
  <c r="D7" i="3"/>
  <c r="CH67" i="1" s="1"/>
  <c r="D22" i="3"/>
  <c r="CH82" i="1" s="1"/>
  <c r="CH81" i="1"/>
  <c r="CH80" i="1"/>
  <c r="D195" i="3"/>
  <c r="D160" i="3"/>
  <c r="D85" i="3"/>
  <c r="D233" i="3"/>
  <c r="D44" i="3"/>
  <c r="D172" i="3"/>
  <c r="D300" i="3"/>
  <c r="D210" i="3"/>
  <c r="D190" i="3"/>
  <c r="D135" i="3"/>
  <c r="D105" i="3"/>
  <c r="D189" i="3"/>
  <c r="D231" i="3"/>
  <c r="D101" i="3"/>
  <c r="D72" i="3"/>
  <c r="D125" i="3"/>
  <c r="D234" i="3"/>
  <c r="D174" i="3"/>
  <c r="D70" i="3"/>
  <c r="D173" i="3"/>
  <c r="D103" i="3"/>
  <c r="D102" i="3"/>
  <c r="D33" i="3"/>
  <c r="CH93" i="1" s="1"/>
  <c r="D205" i="3"/>
  <c r="D150" i="3"/>
  <c r="D104" i="3"/>
  <c r="D221" i="3"/>
  <c r="D146" i="3"/>
  <c r="D187" i="3"/>
  <c r="D122" i="3"/>
  <c r="D86" i="3"/>
  <c r="D259" i="3"/>
  <c r="D153" i="3"/>
  <c r="D177" i="3"/>
  <c r="D147" i="3"/>
  <c r="D83" i="3"/>
  <c r="D235" i="3"/>
  <c r="D175" i="3"/>
  <c r="D75" i="3"/>
  <c r="D116" i="3"/>
  <c r="D67" i="3"/>
  <c r="D228" i="3"/>
  <c r="D188" i="3"/>
  <c r="D232" i="3"/>
  <c r="D202" i="3"/>
  <c r="D68" i="3"/>
  <c r="D31" i="3"/>
  <c r="CH91" i="1" s="1"/>
  <c r="D11" i="3"/>
  <c r="CH71" i="1" s="1"/>
  <c r="D18" i="3"/>
  <c r="CH78" i="1" s="1"/>
  <c r="D14" i="3"/>
  <c r="CH74" i="1" s="1"/>
  <c r="D9" i="3"/>
  <c r="CH69" i="1" s="1"/>
  <c r="D12" i="3"/>
  <c r="CH72" i="1" s="1"/>
  <c r="D15" i="3"/>
  <c r="CH75" i="1" s="1"/>
  <c r="D310" i="3"/>
  <c r="D281" i="3"/>
  <c r="D279" i="3"/>
  <c r="D278" i="3"/>
  <c r="D285" i="3"/>
  <c r="D46" i="3"/>
  <c r="D124" i="3"/>
  <c r="D69" i="3"/>
  <c r="D318" i="3"/>
  <c r="D158" i="3"/>
  <c r="D43" i="3"/>
  <c r="D128" i="3"/>
  <c r="D282" i="3"/>
  <c r="D133" i="3"/>
  <c r="D206" i="3"/>
  <c r="Q38" i="1"/>
  <c r="R38" i="1" s="1"/>
  <c r="Q44" i="1"/>
  <c r="R44" i="1" s="1"/>
  <c r="Q50" i="1"/>
  <c r="R50" i="1" s="1"/>
  <c r="Q48" i="1"/>
  <c r="R48" i="1" s="1"/>
  <c r="Q37" i="1"/>
  <c r="R37" i="1" s="1"/>
  <c r="Q31" i="1"/>
  <c r="R31" i="1" s="1"/>
  <c r="Q32" i="1"/>
  <c r="R32" i="1" s="1"/>
  <c r="AU136" i="1"/>
  <c r="Q39" i="1"/>
  <c r="R39" i="1" s="1"/>
  <c r="AU142" i="1"/>
  <c r="Q43" i="1"/>
  <c r="R43" i="1" s="1"/>
  <c r="AU117" i="1"/>
  <c r="Q42" i="1"/>
  <c r="R42" i="1" s="1"/>
  <c r="AU120" i="1"/>
  <c r="H26" i="1"/>
  <c r="I26" i="1" s="1"/>
  <c r="AU87" i="1"/>
  <c r="AU42" i="1"/>
  <c r="AU76" i="1"/>
  <c r="AU10" i="1"/>
  <c r="Q33" i="1"/>
  <c r="R33" i="1" s="1"/>
  <c r="AU16" i="1"/>
  <c r="Q53" i="1"/>
  <c r="R53" i="1" s="1"/>
  <c r="AU50" i="1"/>
  <c r="AU51" i="1"/>
  <c r="H35" i="1"/>
  <c r="I35" i="1" s="1"/>
  <c r="AU81" i="1"/>
  <c r="AU70" i="1"/>
  <c r="W11" i="1"/>
  <c r="D29" i="1"/>
  <c r="CP69" i="1" s="1"/>
  <c r="D36" i="1"/>
  <c r="CJ48" i="1" s="1"/>
  <c r="D25" i="1"/>
  <c r="D30" i="1"/>
  <c r="CO70" i="1" s="1"/>
  <c r="D34" i="1"/>
  <c r="I127" i="2"/>
  <c r="C127" i="2"/>
  <c r="I99" i="2"/>
  <c r="F34" i="2"/>
  <c r="F105" i="2"/>
  <c r="F18" i="2"/>
  <c r="C122" i="2"/>
  <c r="C66" i="2"/>
  <c r="C15" i="2"/>
  <c r="I125" i="2"/>
  <c r="I119" i="2"/>
  <c r="F119" i="2"/>
  <c r="I104" i="2"/>
  <c r="F104" i="2"/>
  <c r="I80" i="2"/>
  <c r="F80" i="2"/>
  <c r="F43" i="2"/>
  <c r="F63" i="2"/>
  <c r="F109" i="2"/>
  <c r="C109" i="2"/>
  <c r="F77" i="2"/>
  <c r="F5" i="2"/>
  <c r="I112" i="2"/>
  <c r="F112" i="2"/>
  <c r="C112" i="2"/>
  <c r="F70" i="2"/>
  <c r="F16" i="2"/>
  <c r="F39" i="2"/>
  <c r="F91" i="2"/>
  <c r="F98" i="2"/>
  <c r="F126" i="2"/>
  <c r="F103" i="2"/>
  <c r="F35" i="2"/>
  <c r="F56" i="2"/>
  <c r="F102" i="2"/>
  <c r="F93" i="2"/>
  <c r="F31" i="2"/>
  <c r="F27" i="2"/>
  <c r="F17" i="2"/>
  <c r="F19" i="2"/>
  <c r="I118" i="2"/>
  <c r="F128" i="2"/>
  <c r="I90" i="2"/>
  <c r="F90" i="2"/>
  <c r="I74" i="2"/>
  <c r="F74" i="2"/>
  <c r="C74" i="2"/>
  <c r="F21" i="2"/>
  <c r="F69" i="2"/>
  <c r="F65" i="2"/>
  <c r="C50" i="2"/>
  <c r="I49" i="2"/>
  <c r="C49" i="2"/>
  <c r="I13" i="2"/>
  <c r="BE47" i="1" l="1"/>
  <c r="BE46" i="1"/>
  <c r="BE45" i="1"/>
  <c r="BE48" i="1"/>
  <c r="D19" i="3"/>
  <c r="BE50" i="1"/>
  <c r="CE14" i="1"/>
  <c r="CQ74" i="1"/>
  <c r="CJ13" i="1"/>
  <c r="CO69" i="1"/>
  <c r="CO72" i="1"/>
  <c r="CO15" i="1"/>
  <c r="A43" i="10"/>
  <c r="CJ14" i="1"/>
  <c r="CO13" i="1"/>
  <c r="CO71" i="1"/>
  <c r="AB50" i="5"/>
  <c r="A50" i="10"/>
  <c r="R18" i="1"/>
  <c r="CQ78" i="1" s="1"/>
  <c r="AB49" i="5"/>
  <c r="A37" i="10"/>
  <c r="AB48" i="5"/>
  <c r="AC48" i="5" s="1"/>
  <c r="AD48" i="5" s="1"/>
  <c r="AD49" i="5" s="1"/>
  <c r="B56" i="5" s="1"/>
  <c r="F17" i="5" s="1"/>
  <c r="B13" i="5" s="1"/>
  <c r="AA13" i="5" s="1"/>
  <c r="A48" i="10"/>
  <c r="D328" i="3"/>
  <c r="A42" i="10"/>
  <c r="CH176" i="1"/>
  <c r="R17" i="1"/>
  <c r="CQ77" i="1" s="1"/>
  <c r="D280" i="3"/>
  <c r="R19" i="1"/>
  <c r="CQ79" i="1" s="1"/>
  <c r="D184" i="1"/>
  <c r="H184" i="1" s="1"/>
  <c r="CO68" i="1" s="1"/>
  <c r="D182" i="1"/>
  <c r="H182" i="1" s="1"/>
  <c r="CP65" i="1" s="1"/>
  <c r="D183" i="1"/>
  <c r="H183" i="1" s="1"/>
  <c r="C189" i="1"/>
  <c r="C101" i="2"/>
  <c r="C64" i="2"/>
  <c r="C56" i="2"/>
  <c r="C43" i="2"/>
  <c r="C107" i="2"/>
  <c r="C69" i="2"/>
  <c r="C103" i="2"/>
  <c r="C63" i="2"/>
  <c r="C78" i="2"/>
  <c r="C70" i="2"/>
  <c r="C105" i="2"/>
  <c r="C47" i="2"/>
  <c r="C124" i="2"/>
  <c r="D269" i="3"/>
  <c r="C87" i="2"/>
  <c r="C128" i="2"/>
  <c r="C89" i="2"/>
  <c r="C42" i="2"/>
  <c r="C62" i="2"/>
  <c r="C6" i="2"/>
  <c r="C7" i="2"/>
  <c r="C16" i="2"/>
  <c r="C88" i="2"/>
  <c r="C126" i="2"/>
  <c r="C118" i="2"/>
  <c r="C117" i="2"/>
  <c r="C96" i="2"/>
  <c r="D270" i="3"/>
  <c r="D99" i="3"/>
  <c r="D162" i="3"/>
  <c r="D305" i="3"/>
  <c r="D224" i="3"/>
  <c r="D114" i="3"/>
  <c r="D306" i="3"/>
  <c r="D106" i="3"/>
  <c r="D327" i="3"/>
  <c r="D168" i="3"/>
  <c r="D123" i="3"/>
  <c r="D297" i="3"/>
  <c r="D127" i="3"/>
  <c r="D78" i="3"/>
  <c r="D324" i="3"/>
  <c r="D304" i="3"/>
  <c r="D219" i="3"/>
  <c r="D144" i="3"/>
  <c r="D109" i="3"/>
  <c r="D320" i="3"/>
  <c r="D301" i="3"/>
  <c r="D303" i="3"/>
  <c r="D192" i="3"/>
  <c r="D26" i="3"/>
  <c r="CH86" i="1" s="1"/>
  <c r="D319" i="3"/>
  <c r="D260" i="3"/>
  <c r="D100" i="3"/>
  <c r="D50" i="3"/>
  <c r="D96" i="3"/>
  <c r="D157" i="3"/>
  <c r="D28" i="3"/>
  <c r="CH88" i="1" s="1"/>
  <c r="D24" i="3"/>
  <c r="CH84" i="1" s="1"/>
  <c r="D250" i="3"/>
  <c r="D200" i="3"/>
  <c r="D145" i="3"/>
  <c r="D45" i="3"/>
  <c r="D141" i="3"/>
  <c r="D238" i="3"/>
  <c r="D198" i="3"/>
  <c r="D48" i="3"/>
  <c r="D302" i="3"/>
  <c r="D179" i="3"/>
  <c r="D315" i="3"/>
  <c r="D166" i="3"/>
  <c r="D321" i="3"/>
  <c r="D5" i="3"/>
  <c r="CH65" i="1" s="1"/>
  <c r="D4" i="3"/>
  <c r="CH64" i="1" s="1"/>
  <c r="CH79" i="1"/>
  <c r="D23" i="3"/>
  <c r="CH83" i="1" s="1"/>
  <c r="D245" i="3"/>
  <c r="D225" i="3"/>
  <c r="D84" i="3"/>
  <c r="D55" i="3"/>
  <c r="D248" i="3"/>
  <c r="D241" i="3"/>
  <c r="D138" i="3"/>
  <c r="D311" i="3"/>
  <c r="D217" i="3"/>
  <c r="D207" i="3"/>
  <c r="D66" i="3"/>
  <c r="D140" i="3"/>
  <c r="D65" i="3"/>
  <c r="D244" i="3"/>
  <c r="D52" i="3"/>
  <c r="D283" i="3"/>
  <c r="D209" i="3"/>
  <c r="D243" i="3"/>
  <c r="D314" i="3"/>
  <c r="D313" i="3"/>
  <c r="D312" i="3"/>
  <c r="D134" i="3"/>
  <c r="D277" i="3"/>
  <c r="D329" i="3"/>
  <c r="D309" i="3"/>
  <c r="D149" i="3"/>
  <c r="D325" i="3"/>
  <c r="D266" i="3"/>
  <c r="D186" i="3"/>
  <c r="D77" i="3"/>
  <c r="D203" i="3"/>
  <c r="D316" i="3"/>
  <c r="D197" i="3"/>
  <c r="D32" i="3"/>
  <c r="CH92" i="1" s="1"/>
  <c r="D29" i="3"/>
  <c r="CH89" i="1" s="1"/>
  <c r="D76" i="3"/>
  <c r="D274" i="3"/>
  <c r="D164" i="3"/>
  <c r="D80" i="3"/>
  <c r="D256" i="3"/>
  <c r="D171" i="3"/>
  <c r="D151" i="3"/>
  <c r="D121" i="3"/>
  <c r="D230" i="3"/>
  <c r="D111" i="3"/>
  <c r="D227" i="3"/>
  <c r="D132" i="3"/>
  <c r="D159" i="3"/>
  <c r="D296" i="3"/>
  <c r="D317" i="3"/>
  <c r="D208" i="3"/>
  <c r="D204" i="3"/>
  <c r="D82" i="3"/>
  <c r="D79" i="3"/>
  <c r="D148" i="3"/>
  <c r="D74" i="3"/>
  <c r="D112" i="3"/>
  <c r="D98" i="3"/>
  <c r="D10" i="3"/>
  <c r="CH70" i="1" s="1"/>
  <c r="D17" i="3"/>
  <c r="CH77" i="1" s="1"/>
  <c r="D16" i="3"/>
  <c r="CH76" i="1" s="1"/>
  <c r="D131" i="3"/>
  <c r="D284" i="3"/>
  <c r="D307" i="3"/>
  <c r="C46" i="2"/>
  <c r="D185" i="3"/>
  <c r="D181" i="3"/>
  <c r="D184" i="3"/>
  <c r="D182" i="3"/>
  <c r="D183" i="3"/>
  <c r="AU172" i="1"/>
  <c r="AU46" i="1"/>
  <c r="AU37" i="1"/>
  <c r="AU168" i="1"/>
  <c r="AU79" i="1"/>
  <c r="AU80" i="1"/>
  <c r="AU156" i="1"/>
  <c r="AU67" i="1"/>
  <c r="AU66" i="1"/>
  <c r="AU62" i="1"/>
  <c r="AU175" i="1"/>
  <c r="AU145" i="1"/>
  <c r="AU173" i="1"/>
  <c r="H25" i="1"/>
  <c r="I25" i="1" s="1"/>
  <c r="AU160" i="1"/>
  <c r="AU159" i="1"/>
  <c r="C99" i="2"/>
  <c r="AU161" i="1"/>
  <c r="AU148" i="1"/>
  <c r="AU147" i="1"/>
  <c r="C24" i="2"/>
  <c r="AU126" i="1"/>
  <c r="AU139" i="1"/>
  <c r="AU119" i="1"/>
  <c r="AU17" i="1"/>
  <c r="AU11" i="1"/>
  <c r="AU58" i="1"/>
  <c r="AU34" i="1"/>
  <c r="AU63" i="1"/>
  <c r="AU57" i="1"/>
  <c r="AU74" i="1"/>
  <c r="AU54" i="1"/>
  <c r="AU12" i="1"/>
  <c r="AU59" i="1"/>
  <c r="AU49" i="1"/>
  <c r="AU52" i="1"/>
  <c r="AU48" i="1"/>
  <c r="AU14" i="1"/>
  <c r="AU71" i="1"/>
  <c r="AU45" i="1"/>
  <c r="H36" i="1"/>
  <c r="I36" i="1" s="1"/>
  <c r="AU35" i="1"/>
  <c r="H34" i="1"/>
  <c r="I34" i="1" s="1"/>
  <c r="AU85" i="1"/>
  <c r="C14" i="2"/>
  <c r="H29" i="1"/>
  <c r="I29" i="1" s="1"/>
  <c r="AU53" i="1"/>
  <c r="AU60" i="1"/>
  <c r="AU55" i="1"/>
  <c r="AU61" i="1"/>
  <c r="H30" i="1"/>
  <c r="I30" i="1" s="1"/>
  <c r="AU56" i="1"/>
  <c r="H24" i="1"/>
  <c r="I24" i="1" s="1"/>
  <c r="C57" i="2"/>
  <c r="C90" i="2"/>
  <c r="I7" i="2"/>
  <c r="I6" i="2"/>
  <c r="I5" i="2"/>
  <c r="I128" i="2"/>
  <c r="I73" i="2"/>
  <c r="I17" i="2"/>
  <c r="I21" i="2"/>
  <c r="I29" i="2"/>
  <c r="R16" i="1" l="1"/>
  <c r="CQ76" i="1" s="1"/>
  <c r="CO65" i="1"/>
  <c r="CO64" i="1"/>
  <c r="CQ66" i="1"/>
  <c r="CO67" i="1"/>
  <c r="CP67" i="1"/>
  <c r="CJ47" i="1"/>
  <c r="CK73" i="1"/>
  <c r="CJ46" i="1"/>
  <c r="CI73" i="1"/>
  <c r="A23" i="10"/>
  <c r="A22" i="10"/>
  <c r="A24" i="10"/>
  <c r="CH47" i="1"/>
  <c r="CM49" i="1"/>
  <c r="CM48" i="1"/>
  <c r="A28" i="10"/>
  <c r="W17" i="1"/>
  <c r="R13" i="1"/>
</calcChain>
</file>

<file path=xl/comments1.xml><?xml version="1.0" encoding="utf-8"?>
<comments xmlns="http://schemas.openxmlformats.org/spreadsheetml/2006/main">
  <authors>
    <author>Paula Watt</author>
  </authors>
  <commentList>
    <comment ref="A1" authorId="0" shapeId="0">
      <text>
        <r>
          <rPr>
            <sz val="10"/>
            <color indexed="81"/>
            <rFont val="Tahoma"/>
            <family val="2"/>
          </rPr>
          <t>Use this tab for copy &amp; paste into the Approvals Database.  Delete blank lines after pasting</t>
        </r>
        <r>
          <rPr>
            <sz val="8"/>
            <color indexed="81"/>
            <rFont val="Tahoma"/>
            <family val="2"/>
          </rPr>
          <t xml:space="preserve">
</t>
        </r>
      </text>
    </comment>
  </commentList>
</comments>
</file>

<file path=xl/comments2.xml><?xml version="1.0" encoding="utf-8"?>
<comments xmlns="http://schemas.openxmlformats.org/spreadsheetml/2006/main">
  <authors>
    <author>Lambourn, Nicholas</author>
  </authors>
  <commentList>
    <comment ref="F27" authorId="0" shapeId="0">
      <text>
        <r>
          <rPr>
            <b/>
            <sz val="9"/>
            <color indexed="81"/>
            <rFont val="Tahoma"/>
            <family val="2"/>
          </rPr>
          <t>The total of the modifiers which can be found to the right. (Place a minus sign before the number if it’s a negative).</t>
        </r>
      </text>
    </comment>
    <comment ref="B33" authorId="0" shapeId="0">
      <text>
        <r>
          <rPr>
            <b/>
            <sz val="9"/>
            <color indexed="81"/>
            <rFont val="Tahoma"/>
            <family val="2"/>
          </rPr>
          <t>Insert Domain Base Hunting level for your home game</t>
        </r>
      </text>
    </comment>
    <comment ref="B54" authorId="0" shapeId="0">
      <text>
        <r>
          <rPr>
            <b/>
            <sz val="9"/>
            <color indexed="81"/>
            <rFont val="Tahoma"/>
            <family val="2"/>
          </rPr>
          <t xml:space="preserve">Add all modifiers that affect your Sustained Hunting pool (humanity, breath drinking etc).
Enter this as the number if its positive and with a minus before the number if it’s a minus modifier.
</t>
        </r>
      </text>
    </comment>
  </commentList>
</comments>
</file>

<file path=xl/sharedStrings.xml><?xml version="1.0" encoding="utf-8"?>
<sst xmlns="http://schemas.openxmlformats.org/spreadsheetml/2006/main" count="5395" uniqueCount="2349">
  <si>
    <t>Player Information</t>
  </si>
  <si>
    <t>Name</t>
  </si>
  <si>
    <t>Cost</t>
  </si>
  <si>
    <t>Dice Pool</t>
  </si>
  <si>
    <t>Action</t>
  </si>
  <si>
    <t>Versus</t>
  </si>
  <si>
    <t>Approval</t>
  </si>
  <si>
    <t>Book</t>
  </si>
  <si>
    <t>XP</t>
  </si>
  <si>
    <t>Pre-requisites</t>
  </si>
  <si>
    <t>Bobcat Climbing</t>
  </si>
  <si>
    <t>1V</t>
  </si>
  <si>
    <t>N/A</t>
  </si>
  <si>
    <t>Reflexive</t>
  </si>
  <si>
    <t>Local</t>
  </si>
  <si>
    <t>Nomads pg 95</t>
  </si>
  <si>
    <t>Body of Will</t>
  </si>
  <si>
    <t>Dress to Impress</t>
  </si>
  <si>
    <t>1W</t>
  </si>
  <si>
    <t>New Wave pg 32</t>
  </si>
  <si>
    <t>Flesh of Iron</t>
  </si>
  <si>
    <t>Instant</t>
  </si>
  <si>
    <t>Instantaneous Transformation</t>
  </si>
  <si>
    <t>Iron Facade</t>
  </si>
  <si>
    <t>Lessons in the Steel</t>
  </si>
  <si>
    <t>Minus Resolve</t>
  </si>
  <si>
    <t>No</t>
  </si>
  <si>
    <t>Love Like Blood</t>
  </si>
  <si>
    <t>Mask of the Beast</t>
  </si>
  <si>
    <t>Nomads pg 96</t>
  </si>
  <si>
    <t>Monster's Call</t>
  </si>
  <si>
    <t>1V + 1W</t>
  </si>
  <si>
    <t>Genre</t>
  </si>
  <si>
    <t>Wicked Dead pg 95</t>
  </si>
  <si>
    <t>Partial Transformation</t>
  </si>
  <si>
    <t>Poisoned Chalice</t>
  </si>
  <si>
    <t>Contested</t>
  </si>
  <si>
    <t>vs. Resolve + BP</t>
  </si>
  <si>
    <t>Predatory Growl</t>
  </si>
  <si>
    <t>Nomads pg 97</t>
  </si>
  <si>
    <t>Repulsive Vapor</t>
  </si>
  <si>
    <t>vs. Composure + BP</t>
  </si>
  <si>
    <t>Rome pg 119</t>
  </si>
  <si>
    <t>Sanctum of Fear</t>
  </si>
  <si>
    <t>Nomads pg 98</t>
  </si>
  <si>
    <t>Scent of the Beast</t>
  </si>
  <si>
    <t>Extended</t>
  </si>
  <si>
    <t>Searing Wind</t>
  </si>
  <si>
    <t>vs. Stamina + BP</t>
  </si>
  <si>
    <t>Rome pg 118</t>
  </si>
  <si>
    <t>The Message</t>
  </si>
  <si>
    <t>None</t>
  </si>
  <si>
    <t>Ventrue pg 110</t>
  </si>
  <si>
    <t>Touch of Deprivation</t>
  </si>
  <si>
    <t>Trackless Step</t>
  </si>
  <si>
    <t>1V per scene</t>
  </si>
  <si>
    <t>Unspoken Missive</t>
  </si>
  <si>
    <t>1W + 1V</t>
  </si>
  <si>
    <t>Minus Composure</t>
  </si>
  <si>
    <t>New Wave pg 27</t>
  </si>
  <si>
    <t>Verdical Tongue</t>
  </si>
  <si>
    <t>Knowing the Stranger</t>
  </si>
  <si>
    <t>Stalwart Servant</t>
  </si>
  <si>
    <t>Nomads</t>
  </si>
  <si>
    <t>Eyes of the Beast</t>
  </si>
  <si>
    <t>Swarm Control</t>
  </si>
  <si>
    <t>Night Life</t>
  </si>
  <si>
    <t>Daeva pg 118</t>
  </si>
  <si>
    <t>Picture Perfect</t>
  </si>
  <si>
    <t>2V per scene</t>
  </si>
  <si>
    <t>Churchtower Gaze</t>
  </si>
  <si>
    <t>Hidden pg 93</t>
  </si>
  <si>
    <t>Quicken the Slumbering Vitae</t>
  </si>
  <si>
    <t>Hidden pg 94</t>
  </si>
  <si>
    <t>Shadow Heart</t>
  </si>
  <si>
    <t>Witch Lights</t>
  </si>
  <si>
    <t>Hidden pg 95</t>
  </si>
  <si>
    <t>Undying Familiar</t>
  </si>
  <si>
    <t>1V per animal size</t>
  </si>
  <si>
    <t>Gangrel pg 115</t>
  </si>
  <si>
    <t>Unatural Contortion</t>
  </si>
  <si>
    <t>Gangrel pg 116</t>
  </si>
  <si>
    <t>Camoflauge</t>
  </si>
  <si>
    <t>Gangrel pg 112</t>
  </si>
  <si>
    <t>Beloved Pet</t>
  </si>
  <si>
    <t>Varies</t>
  </si>
  <si>
    <t>Hidden pg 104</t>
  </si>
  <si>
    <t>Indomitable Aura</t>
  </si>
  <si>
    <t>Hidden pg 105</t>
  </si>
  <si>
    <t>Man to Beast</t>
  </si>
  <si>
    <t>Butcher's Hook</t>
  </si>
  <si>
    <t>2V</t>
  </si>
  <si>
    <t>Quicken Sight</t>
  </si>
  <si>
    <t>Dodona</t>
  </si>
  <si>
    <t>Chosen pg 25</t>
  </si>
  <si>
    <t>Exegesis</t>
  </si>
  <si>
    <t>Chosen pg 23</t>
  </si>
  <si>
    <t>Soma</t>
  </si>
  <si>
    <t>Syncope</t>
  </si>
  <si>
    <t>Chosen pg 24</t>
  </si>
  <si>
    <t>Makeover</t>
  </si>
  <si>
    <t>Legendary pg 128</t>
  </si>
  <si>
    <t>Faking It</t>
  </si>
  <si>
    <t>Legendary pg 127</t>
  </si>
  <si>
    <t>The Awful Grip</t>
  </si>
  <si>
    <t>Nosferatu pg 111</t>
  </si>
  <si>
    <t>Wicked Grasp</t>
  </si>
  <si>
    <t>Stone Cling</t>
  </si>
  <si>
    <t>AB pg 21</t>
  </si>
  <si>
    <t>Shivers</t>
  </si>
  <si>
    <t>AB pg 20</t>
  </si>
  <si>
    <t>Freeze Bones</t>
  </si>
  <si>
    <t>Minus Stamina + Resilience</t>
  </si>
  <si>
    <t>AB pg 19</t>
  </si>
  <si>
    <t>Playing the Part</t>
  </si>
  <si>
    <t>Nosferatu pg 107</t>
  </si>
  <si>
    <t>The Warding Flesh</t>
  </si>
  <si>
    <t>Chosen pg 55</t>
  </si>
  <si>
    <t>Appaling Lure</t>
  </si>
  <si>
    <t>Chosen pg 54</t>
  </si>
  <si>
    <t>Repulsive Mein</t>
  </si>
  <si>
    <t>Instant and Contested</t>
  </si>
  <si>
    <t>AB pg 140</t>
  </si>
  <si>
    <t>The Rejected Malady</t>
  </si>
  <si>
    <t>Messenger's Blessing</t>
  </si>
  <si>
    <t>1V or more</t>
  </si>
  <si>
    <t>Ventrue pg 109</t>
  </si>
  <si>
    <t>Hounds of Blood</t>
  </si>
  <si>
    <t>Rime of Salt</t>
  </si>
  <si>
    <t>Chosen pg 63</t>
  </si>
  <si>
    <t>The Hidden Master</t>
  </si>
  <si>
    <t>Extended and Contested</t>
  </si>
  <si>
    <t>Chosen pg 64</t>
  </si>
  <si>
    <t>Undiminished Rage</t>
  </si>
  <si>
    <t>22 Solid</t>
  </si>
  <si>
    <t>Aversion Curse</t>
  </si>
  <si>
    <t>Contested and Reflexive</t>
  </si>
  <si>
    <t>Behind the Throne</t>
  </si>
  <si>
    <t>Cleansing Impression</t>
  </si>
  <si>
    <t>Dauntless Spirit</t>
  </si>
  <si>
    <t>1W per scene</t>
  </si>
  <si>
    <t>Forced March</t>
  </si>
  <si>
    <t>Guardian Vigil</t>
  </si>
  <si>
    <t>1V per night</t>
  </si>
  <si>
    <t>Husk</t>
  </si>
  <si>
    <t>1V per turn</t>
  </si>
  <si>
    <t>Ignore</t>
  </si>
  <si>
    <t>Immutable Mind</t>
  </si>
  <si>
    <t>Iron Muscles</t>
  </si>
  <si>
    <t>Message in a Bottle</t>
  </si>
  <si>
    <t>Stalwart Heart</t>
  </si>
  <si>
    <t>Sudden Strength</t>
  </si>
  <si>
    <t>2V per turn</t>
  </si>
  <si>
    <t>Unflinching Eye</t>
  </si>
  <si>
    <t>Vitae Bloat</t>
  </si>
  <si>
    <t>Army of One</t>
  </si>
  <si>
    <t>vs. Highest Resolve</t>
  </si>
  <si>
    <t>Brute Cannot Betray</t>
  </si>
  <si>
    <t>Blink</t>
  </si>
  <si>
    <t>Instant Adoration</t>
  </si>
  <si>
    <t>Occulted Spirit</t>
  </si>
  <si>
    <t>1W dot</t>
  </si>
  <si>
    <t>Shout</t>
  </si>
  <si>
    <t>Unseen Master</t>
  </si>
  <si>
    <t>Call of Courage</t>
  </si>
  <si>
    <t>CotC pg 192</t>
  </si>
  <si>
    <t>Rumour of Dread</t>
  </si>
  <si>
    <t>Invictus pg 213</t>
  </si>
  <si>
    <t>The Knight's Example</t>
  </si>
  <si>
    <t>Arcane Sight (Cruac)</t>
  </si>
  <si>
    <t>Arcane Sight (Theban)</t>
  </si>
  <si>
    <t>Eyes of the Dragon</t>
  </si>
  <si>
    <t>Ordo pg 199</t>
  </si>
  <si>
    <t>Free Your Blood</t>
  </si>
  <si>
    <t>Ordo pg 200</t>
  </si>
  <si>
    <t>Strength from Pain</t>
  </si>
  <si>
    <t>Ordo pg 201</t>
  </si>
  <si>
    <t>Will to Endure</t>
  </si>
  <si>
    <t>Disciplines</t>
  </si>
  <si>
    <t>Discipline</t>
  </si>
  <si>
    <t>Animalism 1</t>
  </si>
  <si>
    <t>Feral Whispers</t>
  </si>
  <si>
    <t>Requires eye contact</t>
  </si>
  <si>
    <t>VTR MET</t>
  </si>
  <si>
    <t>Animalism 2</t>
  </si>
  <si>
    <t>Obedience</t>
  </si>
  <si>
    <t>Minus Comp</t>
  </si>
  <si>
    <t>Animalism 3</t>
  </si>
  <si>
    <t>Call of the Wild</t>
  </si>
  <si>
    <t>Animalism 4</t>
  </si>
  <si>
    <t>Subsume the Lesser Spirit</t>
  </si>
  <si>
    <t>vs. Comp</t>
  </si>
  <si>
    <t>Animalism 5</t>
  </si>
  <si>
    <t>Leashing the Beast</t>
  </si>
  <si>
    <t>Instant or Contested</t>
  </si>
  <si>
    <t>vs. Comp + BP</t>
  </si>
  <si>
    <t>Auspex 1</t>
  </si>
  <si>
    <t>Heightened Senses</t>
  </si>
  <si>
    <t>Auspex 2</t>
  </si>
  <si>
    <t>Aura Perception</t>
  </si>
  <si>
    <t>Auspex 3</t>
  </si>
  <si>
    <t>Auspex 4</t>
  </si>
  <si>
    <t>Telepathy</t>
  </si>
  <si>
    <t>0 for Mortal or willing / 1V</t>
  </si>
  <si>
    <t>Minus Res</t>
  </si>
  <si>
    <t>Auspex 5</t>
  </si>
  <si>
    <t>Twighlight Projection</t>
  </si>
  <si>
    <t xml:space="preserve">Celerity </t>
  </si>
  <si>
    <t>Celerity</t>
  </si>
  <si>
    <t>Dominate 1</t>
  </si>
  <si>
    <t>Command</t>
  </si>
  <si>
    <t>vs. Res + BP</t>
  </si>
  <si>
    <t>Dominate 2</t>
  </si>
  <si>
    <t>Mesmerize</t>
  </si>
  <si>
    <t>Dominate 3</t>
  </si>
  <si>
    <t>The Forgetful Mind</t>
  </si>
  <si>
    <t>Dominate 4</t>
  </si>
  <si>
    <t>Conditioning</t>
  </si>
  <si>
    <t>1W per draw</t>
  </si>
  <si>
    <t>Contested and Extended</t>
  </si>
  <si>
    <t>Dominate 5</t>
  </si>
  <si>
    <t>Possession</t>
  </si>
  <si>
    <t>vs. Res</t>
  </si>
  <si>
    <t>Majesty 1</t>
  </si>
  <si>
    <t>Awe</t>
  </si>
  <si>
    <t>Majesty 2</t>
  </si>
  <si>
    <t>Revelation</t>
  </si>
  <si>
    <t>Majesty 3</t>
  </si>
  <si>
    <t>Entrancement</t>
  </si>
  <si>
    <t>Majesty 4</t>
  </si>
  <si>
    <t>Majesty 5</t>
  </si>
  <si>
    <t>Sovereignty</t>
  </si>
  <si>
    <t>Nightmare 1</t>
  </si>
  <si>
    <t>Monstrous Countenance</t>
  </si>
  <si>
    <t>Nightmare 2</t>
  </si>
  <si>
    <t>Dread</t>
  </si>
  <si>
    <t>Nightmare 3</t>
  </si>
  <si>
    <t>Eye of the Beast</t>
  </si>
  <si>
    <t>Nightmare 4</t>
  </si>
  <si>
    <t>Shatter the Mind</t>
  </si>
  <si>
    <t>Nightmare 5</t>
  </si>
  <si>
    <t>Mortal Fear</t>
  </si>
  <si>
    <t>Obfuscate 1</t>
  </si>
  <si>
    <t>Touch of Shadow</t>
  </si>
  <si>
    <t>Obfuscate 2</t>
  </si>
  <si>
    <t>Mask of Tranquility</t>
  </si>
  <si>
    <t>Obfuscate 3</t>
  </si>
  <si>
    <t>Cloak of Night</t>
  </si>
  <si>
    <t>Obfuscate 4</t>
  </si>
  <si>
    <t>The Familiar Stranger</t>
  </si>
  <si>
    <t>Obfuscate 5</t>
  </si>
  <si>
    <t>Cloak the Gathering</t>
  </si>
  <si>
    <t>Protean 1</t>
  </si>
  <si>
    <t>Aspect of the Predator</t>
  </si>
  <si>
    <t>Protean 2</t>
  </si>
  <si>
    <t>Haven of Soil</t>
  </si>
  <si>
    <t>Protean 3</t>
  </si>
  <si>
    <t>Protean 4</t>
  </si>
  <si>
    <t>Shape of the Beast</t>
  </si>
  <si>
    <t>Protean 5</t>
  </si>
  <si>
    <t>Body of Spirit</t>
  </si>
  <si>
    <t xml:space="preserve">Resilience </t>
  </si>
  <si>
    <t>Resilience</t>
  </si>
  <si>
    <t>Vigor</t>
  </si>
  <si>
    <t>Abjurism 1</t>
  </si>
  <si>
    <t>Buttress the Soul</t>
  </si>
  <si>
    <t>AB pg 92 - 96</t>
  </si>
  <si>
    <t>Abjurism 2</t>
  </si>
  <si>
    <t>The Light of Truth</t>
  </si>
  <si>
    <t>Abjurism 3</t>
  </si>
  <si>
    <t>Cleanse the Mind</t>
  </si>
  <si>
    <t>Abjurism 4</t>
  </si>
  <si>
    <t>Banish the Summoned Servitor</t>
  </si>
  <si>
    <t>Power + Resistance or Resolve</t>
  </si>
  <si>
    <t>Abjurism 5</t>
  </si>
  <si>
    <t>Break the Weave</t>
  </si>
  <si>
    <t>Amphivena 1</t>
  </si>
  <si>
    <t>Serpentine Rapport</t>
  </si>
  <si>
    <t>CotC pg 186 - 188</t>
  </si>
  <si>
    <t>Amphivena 2</t>
  </si>
  <si>
    <t>Serpentine Union</t>
  </si>
  <si>
    <t>Amphivena 3</t>
  </si>
  <si>
    <t>Arms of the Amphibaena</t>
  </si>
  <si>
    <t>Amphivena 4</t>
  </si>
  <si>
    <t>Medusas Venom</t>
  </si>
  <si>
    <t>Amphivena 5</t>
  </si>
  <si>
    <t>Body of the Gorgon</t>
  </si>
  <si>
    <t>Asphyx 1</t>
  </si>
  <si>
    <t>The Cough</t>
  </si>
  <si>
    <t>vs. Stamina + Resolve</t>
  </si>
  <si>
    <t>AB pg 23 -26</t>
  </si>
  <si>
    <t>Asphyx 2</t>
  </si>
  <si>
    <t>Taint</t>
  </si>
  <si>
    <t>Asphyx 3</t>
  </si>
  <si>
    <t>Burning Touch</t>
  </si>
  <si>
    <t>Asphyx 4</t>
  </si>
  <si>
    <t>Breath of Death</t>
  </si>
  <si>
    <t>Asphyx 5</t>
  </si>
  <si>
    <t>Choking Cloud</t>
  </si>
  <si>
    <t>Bhumisparsa 1</t>
  </si>
  <si>
    <t>Bhumisparsa</t>
  </si>
  <si>
    <t>AB pg 124</t>
  </si>
  <si>
    <t>Bhumisparsa 2</t>
  </si>
  <si>
    <t>Bhumisparsa 3</t>
  </si>
  <si>
    <t>Bhumisparsa 4</t>
  </si>
  <si>
    <t>Bhumisparsa 5</t>
  </si>
  <si>
    <t>Blut Alchemie 1</t>
  </si>
  <si>
    <t>Sanguine Analysis</t>
  </si>
  <si>
    <t>AB pg 83 - 88</t>
  </si>
  <si>
    <t>Blut Alchemie 2</t>
  </si>
  <si>
    <t>Vitae Distillation</t>
  </si>
  <si>
    <t>Blut Alchemie 3</t>
  </si>
  <si>
    <t>Internal Athanor</t>
  </si>
  <si>
    <t>Blut Alchemie 4</t>
  </si>
  <si>
    <t>Vitae Transmutation</t>
  </si>
  <si>
    <t>Blut Alchemie 5</t>
  </si>
  <si>
    <t>Bloody Bezoar</t>
  </si>
  <si>
    <t>5V</t>
  </si>
  <si>
    <t>Special</t>
  </si>
  <si>
    <t>Minus Stamina</t>
  </si>
  <si>
    <t>Carrefour 1</t>
  </si>
  <si>
    <t>Govi Trap</t>
  </si>
  <si>
    <t>vs. Finesse + Resistance</t>
  </si>
  <si>
    <t>AB pg 64</t>
  </si>
  <si>
    <t>Carrefour 2</t>
  </si>
  <si>
    <t>Skeleton Key</t>
  </si>
  <si>
    <t>Carrefour 3</t>
  </si>
  <si>
    <t>Veve Passageway</t>
  </si>
  <si>
    <t>Carrefour 4</t>
  </si>
  <si>
    <t>Open Baye</t>
  </si>
  <si>
    <t>Carrefour 5</t>
  </si>
  <si>
    <t>Shift Threshold</t>
  </si>
  <si>
    <t>Catteveria 1</t>
  </si>
  <si>
    <t>Mortician's Appraisal</t>
  </si>
  <si>
    <t>Chosen pg 71</t>
  </si>
  <si>
    <t>Catteveria 2</t>
  </si>
  <si>
    <t>Shuffling Porter</t>
  </si>
  <si>
    <t>1V per corpse</t>
  </si>
  <si>
    <t>Catteveria 3</t>
  </si>
  <si>
    <t>Ectoplasmic Manifestation</t>
  </si>
  <si>
    <t>Catteveria 4</t>
  </si>
  <si>
    <t>The Predator's Bequest</t>
  </si>
  <si>
    <t>1v per corpse</t>
  </si>
  <si>
    <t>Catteveria 5</t>
  </si>
  <si>
    <t>Ultimo Respiro</t>
  </si>
  <si>
    <t>Minus Resolve + BP</t>
  </si>
  <si>
    <t>Constance 1</t>
  </si>
  <si>
    <t>LS pg 178</t>
  </si>
  <si>
    <t>Constance 2</t>
  </si>
  <si>
    <t>Constance 3</t>
  </si>
  <si>
    <t>Constance 4</t>
  </si>
  <si>
    <t>Constance 5</t>
  </si>
  <si>
    <t>Courtoisie 1</t>
  </si>
  <si>
    <t>Clarity of Intention</t>
  </si>
  <si>
    <t>Invictus pg 189</t>
  </si>
  <si>
    <t>Courtoisie 2</t>
  </si>
  <si>
    <t>The Importance of Conversation</t>
  </si>
  <si>
    <t>minus Composure</t>
  </si>
  <si>
    <t>Courtoisie 3</t>
  </si>
  <si>
    <t>Fair Warning, Fairly Given</t>
  </si>
  <si>
    <t>Instant and Reflexive</t>
  </si>
  <si>
    <t>minus Composure + BP</t>
  </si>
  <si>
    <t>Courtoisie 4</t>
  </si>
  <si>
    <t>Penalty of Discourtesy</t>
  </si>
  <si>
    <t>Reflexive and Contested</t>
  </si>
  <si>
    <t>Courtoisie 5</t>
  </si>
  <si>
    <t>Barbed Words</t>
  </si>
  <si>
    <t>minus Composure or Resolve</t>
  </si>
  <si>
    <t>Domus 1</t>
  </si>
  <si>
    <t>The Web Trembles</t>
  </si>
  <si>
    <t>vs. Composure + Obfuscate</t>
  </si>
  <si>
    <t>Invictus pg 192</t>
  </si>
  <si>
    <t>Domus 2</t>
  </si>
  <si>
    <t>The Web Speaks</t>
  </si>
  <si>
    <t>Domus 3</t>
  </si>
  <si>
    <t>Loyal Web</t>
  </si>
  <si>
    <t>1V per subject per scene</t>
  </si>
  <si>
    <t>Domus 4</t>
  </si>
  <si>
    <t>The Spider's Cucoon</t>
  </si>
  <si>
    <t>1V + 1W per scene</t>
  </si>
  <si>
    <t>Domus 5</t>
  </si>
  <si>
    <t>The Living Web</t>
  </si>
  <si>
    <t>2V + 1W per day or night</t>
  </si>
  <si>
    <t>Embrocation 1</t>
  </si>
  <si>
    <t>Masaha "To Anoint"</t>
  </si>
  <si>
    <t>Hidden pg 112</t>
  </si>
  <si>
    <t>Embrocation 2</t>
  </si>
  <si>
    <t>Lebhonah "White Incense"</t>
  </si>
  <si>
    <t>Embrocation 3</t>
  </si>
  <si>
    <t>Mashkeh "To Drink"</t>
  </si>
  <si>
    <t>Embrocation 4</t>
  </si>
  <si>
    <t>Berith "The Covenant"</t>
  </si>
  <si>
    <t>Embrocation 5</t>
  </si>
  <si>
    <t>Taharah "Ritual Purity"</t>
  </si>
  <si>
    <t>Essentiaphagia 1</t>
  </si>
  <si>
    <t>Hunger for Essentia</t>
  </si>
  <si>
    <t>Ordo pg 179</t>
  </si>
  <si>
    <t>Essentiaphagia 2</t>
  </si>
  <si>
    <t>Draw Ectoplasm</t>
  </si>
  <si>
    <t>Essentiaphagia 3</t>
  </si>
  <si>
    <t>Essentia Diffusion</t>
  </si>
  <si>
    <t>2E or 1E + 2V</t>
  </si>
  <si>
    <t>Essentiaphagia 4</t>
  </si>
  <si>
    <t>Mnemophagia</t>
  </si>
  <si>
    <t>4E + 1W</t>
  </si>
  <si>
    <t>minus Resistance</t>
  </si>
  <si>
    <t>Essentiaphagia 5</t>
  </si>
  <si>
    <t>Ghost Consumption</t>
  </si>
  <si>
    <t>5E + 1W</t>
  </si>
  <si>
    <t>vs. Power + Resistance</t>
  </si>
  <si>
    <t>Eupraxia 1</t>
  </si>
  <si>
    <t>Blessing of Eupraxia</t>
  </si>
  <si>
    <t>Ordo pg 184</t>
  </si>
  <si>
    <t>Eupraxia 2</t>
  </si>
  <si>
    <t>Absolve the Man</t>
  </si>
  <si>
    <t>Eupraxia 3</t>
  </si>
  <si>
    <t>Grace of Eupraxia</t>
  </si>
  <si>
    <t>Eupraxia 4</t>
  </si>
  <si>
    <t>Refuge of Forbidance</t>
  </si>
  <si>
    <t>Eupraxia 5</t>
  </si>
  <si>
    <t>Exorcise the Beast</t>
  </si>
  <si>
    <t>1W per roll</t>
  </si>
  <si>
    <t>minus Resolve</t>
  </si>
  <si>
    <t>minus Stamina</t>
  </si>
  <si>
    <t>Hypnagogia 1</t>
  </si>
  <si>
    <t>The Void</t>
  </si>
  <si>
    <t>AB pg 163</t>
  </si>
  <si>
    <t>Hypnagogia 2</t>
  </si>
  <si>
    <t>Overwrite</t>
  </si>
  <si>
    <t>Hypnagogia 3</t>
  </si>
  <si>
    <t>The Realm Between</t>
  </si>
  <si>
    <t>Hypnagogia 4</t>
  </si>
  <si>
    <t>Spirit Guide</t>
  </si>
  <si>
    <t>Hypnagogia 5</t>
  </si>
  <si>
    <t>Tabula Rasa</t>
  </si>
  <si>
    <t>Impurity 1</t>
  </si>
  <si>
    <t>Feeble Shadow</t>
  </si>
  <si>
    <t>Impurity 2</t>
  </si>
  <si>
    <t>Outcast Haunt</t>
  </si>
  <si>
    <t>Impurity 3</t>
  </si>
  <si>
    <t>Depraved Succubus</t>
  </si>
  <si>
    <t>Impurity 4</t>
  </si>
  <si>
    <t>Stupid Savage</t>
  </si>
  <si>
    <t>Impurity 5</t>
  </si>
  <si>
    <t>Mad Lord</t>
  </si>
  <si>
    <t>2W</t>
  </si>
  <si>
    <t>Insomnium 1</t>
  </si>
  <si>
    <t>Dream of the Many</t>
  </si>
  <si>
    <t>Hidden pg 15</t>
  </si>
  <si>
    <t>Insomnium 2</t>
  </si>
  <si>
    <t>Lucid Dreaming</t>
  </si>
  <si>
    <t>Insomnium 3</t>
  </si>
  <si>
    <t>Chain of the Enslumbered Mind</t>
  </si>
  <si>
    <t>Insomnium 4</t>
  </si>
  <si>
    <t>Blissful Sleep</t>
  </si>
  <si>
    <t>Insomnium 5</t>
  </si>
  <si>
    <t>Travails of Morpheus</t>
  </si>
  <si>
    <t>Institutionalize 1</t>
  </si>
  <si>
    <t>Hall of Power</t>
  </si>
  <si>
    <t>minus Highest Composure</t>
  </si>
  <si>
    <t>Hidden pg 73</t>
  </si>
  <si>
    <t>Institutionalize 2</t>
  </si>
  <si>
    <t>Social Censure</t>
  </si>
  <si>
    <t>Institutionalize 3</t>
  </si>
  <si>
    <t>Off Limits</t>
  </si>
  <si>
    <t>Institutionalize 4</t>
  </si>
  <si>
    <t>Panopticon</t>
  </si>
  <si>
    <t>Institutionalize 5</t>
  </si>
  <si>
    <t>Lord of the Manor</t>
  </si>
  <si>
    <t>Kamen 1</t>
  </si>
  <si>
    <t>Tatemae</t>
  </si>
  <si>
    <t>Invictus pg 199</t>
  </si>
  <si>
    <t>Kamen 2</t>
  </si>
  <si>
    <t>The Fitting Time</t>
  </si>
  <si>
    <t>Kamen 3</t>
  </si>
  <si>
    <t>The Wave is the Man</t>
  </si>
  <si>
    <t>Kamen 4</t>
  </si>
  <si>
    <t>Face of the Moment</t>
  </si>
  <si>
    <t>Kamen 5</t>
  </si>
  <si>
    <t>Masking the Beast</t>
  </si>
  <si>
    <t>reflexive</t>
  </si>
  <si>
    <t>Kingjan 1</t>
  </si>
  <si>
    <t>Degradation</t>
  </si>
  <si>
    <t>Chosen pg 91</t>
  </si>
  <si>
    <t>Kingjan 2</t>
  </si>
  <si>
    <t>Mortify</t>
  </si>
  <si>
    <t>Kingjan 3</t>
  </si>
  <si>
    <t>Kiss of Oblivion</t>
  </si>
  <si>
    <t>Kingjan 4</t>
  </si>
  <si>
    <t>Wave of Apathy</t>
  </si>
  <si>
    <t>Kingjan 5</t>
  </si>
  <si>
    <t>Blessed Detachment</t>
  </si>
  <si>
    <t>Licencieux 1</t>
  </si>
  <si>
    <t>Intime</t>
  </si>
  <si>
    <t>minus Resolve + BP</t>
  </si>
  <si>
    <t>Chosen pg 42</t>
  </si>
  <si>
    <t>Licencieux 2</t>
  </si>
  <si>
    <t>La Touche Illusoire</t>
  </si>
  <si>
    <t>Licencieux 3</t>
  </si>
  <si>
    <t>Douleur Agréable</t>
  </si>
  <si>
    <t>Licencieux 4</t>
  </si>
  <si>
    <t>Insensate</t>
  </si>
  <si>
    <t>Licencieux 5</t>
  </si>
  <si>
    <t>Jardin d'Agrément</t>
  </si>
  <si>
    <t>Linagem 1</t>
  </si>
  <si>
    <t>Affinity for Blood</t>
  </si>
  <si>
    <t>AB pg 102</t>
  </si>
  <si>
    <t>Linagem 2</t>
  </si>
  <si>
    <t>Sanguine Secrets</t>
  </si>
  <si>
    <t>minus BP</t>
  </si>
  <si>
    <t>Linagem 3</t>
  </si>
  <si>
    <t>Binding Ties</t>
  </si>
  <si>
    <t>Linagem 4</t>
  </si>
  <si>
    <t>Blood Lies</t>
  </si>
  <si>
    <t>Linagem 5</t>
  </si>
  <si>
    <t>Distant Mastery</t>
  </si>
  <si>
    <t>Memento Mori 1</t>
  </si>
  <si>
    <t>Twighlight Sight</t>
  </si>
  <si>
    <t>Memento Mori 2</t>
  </si>
  <si>
    <t>Consult with the Dead</t>
  </si>
  <si>
    <t>Memento Mori 3</t>
  </si>
  <si>
    <t>Brush of Death</t>
  </si>
  <si>
    <t>Memento Mori 4</t>
  </si>
  <si>
    <t>Blood from Bone</t>
  </si>
  <si>
    <t>Memento Mori 5</t>
  </si>
  <si>
    <t>Necrosis</t>
  </si>
  <si>
    <t>Mimetismo 1</t>
  </si>
  <si>
    <t>Certain Sounds</t>
  </si>
  <si>
    <t>Chosen pg 32</t>
  </si>
  <si>
    <t>Mimetismo 2</t>
  </si>
  <si>
    <t>Impersonation</t>
  </si>
  <si>
    <t>Mimetismo 3</t>
  </si>
  <si>
    <t>Cacophony</t>
  </si>
  <si>
    <t>Mimetismo 4</t>
  </si>
  <si>
    <t>Echolocation</t>
  </si>
  <si>
    <t>Mimetismo 5</t>
  </si>
  <si>
    <t>Aural Assault</t>
  </si>
  <si>
    <t>Nahdad 1</t>
  </si>
  <si>
    <t>Wanderer's Sense</t>
  </si>
  <si>
    <t>LS pg 182</t>
  </si>
  <si>
    <t>Nahdad 2</t>
  </si>
  <si>
    <t>One Thousand Havens</t>
  </si>
  <si>
    <t>Nahdad 3</t>
  </si>
  <si>
    <t>Stomach of the Starved</t>
  </si>
  <si>
    <t>Can survive on animal blood</t>
  </si>
  <si>
    <t>Nahdad 4</t>
  </si>
  <si>
    <t>Nahdad 5</t>
  </si>
  <si>
    <t>Nburu 1</t>
  </si>
  <si>
    <t>Silent Passage</t>
  </si>
  <si>
    <t>AB pg 109</t>
  </si>
  <si>
    <t>Nburu 2</t>
  </si>
  <si>
    <t>Defiled Presence</t>
  </si>
  <si>
    <t>Nburu 3</t>
  </si>
  <si>
    <t>Synthesis</t>
  </si>
  <si>
    <t>Nburu 4</t>
  </si>
  <si>
    <t>Hungry Swarms</t>
  </si>
  <si>
    <t>minus Defense</t>
  </si>
  <si>
    <t>Nburu 5</t>
  </si>
  <si>
    <t>Dark Spirit of the Forest</t>
  </si>
  <si>
    <t>Nepenthe 1</t>
  </si>
  <si>
    <t>Fragrance of the Hal Gil</t>
  </si>
  <si>
    <t>Hidden pg 26</t>
  </si>
  <si>
    <t>Nepenthe 2</t>
  </si>
  <si>
    <t>Inflict the Empty Soul</t>
  </si>
  <si>
    <t>Nepenthe 3</t>
  </si>
  <si>
    <t>Crave the Caress</t>
  </si>
  <si>
    <t>Nepenthe 4</t>
  </si>
  <si>
    <t>Kiss of the Hal Gil</t>
  </si>
  <si>
    <t>Nepenthe 5</t>
  </si>
  <si>
    <t>Blessed Drowning</t>
  </si>
  <si>
    <t>Obtenebration 1</t>
  </si>
  <si>
    <t>Night Sight</t>
  </si>
  <si>
    <t>Hidden pg 64</t>
  </si>
  <si>
    <t>Obtenebration 2</t>
  </si>
  <si>
    <t>Shadow Play</t>
  </si>
  <si>
    <t>Obtenebration 3</t>
  </si>
  <si>
    <t>Shroud of Night</t>
  </si>
  <si>
    <t>Obtenebration 4</t>
  </si>
  <si>
    <t>Perambulam in Tenebris</t>
  </si>
  <si>
    <t>Obtenebration 5</t>
  </si>
  <si>
    <t>Shadow Form</t>
  </si>
  <si>
    <t>Perfidy 1</t>
  </si>
  <si>
    <t>Sweeten Sin</t>
  </si>
  <si>
    <t>Invictus pg 196</t>
  </si>
  <si>
    <t>Perfidy 2</t>
  </si>
  <si>
    <t>Indiscretion</t>
  </si>
  <si>
    <t>Perfidy 3</t>
  </si>
  <si>
    <t>Familiarity Fear</t>
  </si>
  <si>
    <t>Perfidy 4</t>
  </si>
  <si>
    <t>Passion Fugue</t>
  </si>
  <si>
    <t>Perfidy 5</t>
  </si>
  <si>
    <t>Animus</t>
  </si>
  <si>
    <t>Phagia 1</t>
  </si>
  <si>
    <t>Gnashing Maw</t>
  </si>
  <si>
    <t>Chosen pg 51</t>
  </si>
  <si>
    <t>Phagia 2</t>
  </si>
  <si>
    <t>Rasping Flesh</t>
  </si>
  <si>
    <t>Phagia 3</t>
  </si>
  <si>
    <t>Bloody Cache</t>
  </si>
  <si>
    <t>Phagia 4</t>
  </si>
  <si>
    <t>Mortal Balm</t>
  </si>
  <si>
    <t>Phagia 5</t>
  </si>
  <si>
    <t>Blood Compulsion</t>
  </si>
  <si>
    <t>vs. Stamina + BP (if unwilling)</t>
  </si>
  <si>
    <t>Ralab 1</t>
  </si>
  <si>
    <t>Pact of Allure</t>
  </si>
  <si>
    <t>CotC pg 189</t>
  </si>
  <si>
    <t>Ralab 2</t>
  </si>
  <si>
    <t>Haven of Flesh</t>
  </si>
  <si>
    <t>Ralab 3</t>
  </si>
  <si>
    <t>The Infinite Chalice</t>
  </si>
  <si>
    <t>Ralab 4</t>
  </si>
  <si>
    <t>Of Will Undivided</t>
  </si>
  <si>
    <t>Ralab 5</t>
  </si>
  <si>
    <t>Unholy Avatar</t>
  </si>
  <si>
    <t>1W dot + 5V</t>
  </si>
  <si>
    <t>Instant or Reflexive</t>
  </si>
  <si>
    <t>vs. Resolve + Composure</t>
  </si>
  <si>
    <t>Sakti Pata 1</t>
  </si>
  <si>
    <t>Halahala</t>
  </si>
  <si>
    <t>1W + 1V or more</t>
  </si>
  <si>
    <t>AB pg 50</t>
  </si>
  <si>
    <t>Sakti Pata 2</t>
  </si>
  <si>
    <t>Gift of Indra</t>
  </si>
  <si>
    <t>1V + 1L</t>
  </si>
  <si>
    <t>Sakti Pata 3</t>
  </si>
  <si>
    <t>Rudra's Blessing</t>
  </si>
  <si>
    <t>Sakti Pata 4</t>
  </si>
  <si>
    <t>Durga's Kiss</t>
  </si>
  <si>
    <t>Sakti Pata 5</t>
  </si>
  <si>
    <t>Yama's Bonifice</t>
  </si>
  <si>
    <t>Scourge 1</t>
  </si>
  <si>
    <t>Penitence Through Pain</t>
  </si>
  <si>
    <t>Scourge 2</t>
  </si>
  <si>
    <t>Share Pain</t>
  </si>
  <si>
    <t>Scourge 3</t>
  </si>
  <si>
    <t>Endure Pain</t>
  </si>
  <si>
    <t>Scourge 4</t>
  </si>
  <si>
    <t>Weakness of Flesh</t>
  </si>
  <si>
    <t>Scourge 5</t>
  </si>
  <si>
    <t>Know Pain</t>
  </si>
  <si>
    <t>Serendipity 1</t>
  </si>
  <si>
    <t>Turn of Phrase</t>
  </si>
  <si>
    <t>Serendipity 2</t>
  </si>
  <si>
    <t>Guided Steps</t>
  </si>
  <si>
    <t>Serendipity 3</t>
  </si>
  <si>
    <t>Perfect Timing</t>
  </si>
  <si>
    <t>1V or None</t>
  </si>
  <si>
    <t>Serendipity 4</t>
  </si>
  <si>
    <t>Prescience</t>
  </si>
  <si>
    <t>Serendipity 5</t>
  </si>
  <si>
    <t>Stars in Alignment</t>
  </si>
  <si>
    <t>2W + 1V</t>
  </si>
  <si>
    <t>Spiritus Sancti 1</t>
  </si>
  <si>
    <t>Embracing the Invisible Other</t>
  </si>
  <si>
    <t>AB pg 132</t>
  </si>
  <si>
    <t>Spiritus Sancti 2</t>
  </si>
  <si>
    <t>Eyes of the Inner Archon</t>
  </si>
  <si>
    <t>Spiritus Sancti 3</t>
  </si>
  <si>
    <t>In the Presence of the Holy Spirit</t>
  </si>
  <si>
    <t>Spiritus Sancti 4</t>
  </si>
  <si>
    <t>Communion with the Higher Realms</t>
  </si>
  <si>
    <t>Spiritus Sancti 5</t>
  </si>
  <si>
    <t>Accepting the Mantle of the Divine</t>
  </si>
  <si>
    <t>1V + 2W</t>
  </si>
  <si>
    <t>Stigmatica 1</t>
  </si>
  <si>
    <t>The Scourging</t>
  </si>
  <si>
    <t>Hidden pg 54</t>
  </si>
  <si>
    <t>Stigmatica 2</t>
  </si>
  <si>
    <t>Palms of Blood</t>
  </si>
  <si>
    <t>Stigmatica 3</t>
  </si>
  <si>
    <t>The Dolourius Nail</t>
  </si>
  <si>
    <t>Stigmatica 4</t>
  </si>
  <si>
    <t>Crown of Thorns</t>
  </si>
  <si>
    <t>Stigmatica 5</t>
  </si>
  <si>
    <t>Spear of Loginus</t>
  </si>
  <si>
    <t>Suikast 1</t>
  </si>
  <si>
    <t>Will against Wyrm</t>
  </si>
  <si>
    <t>Ordo pg 192</t>
  </si>
  <si>
    <t>Suikast 2</t>
  </si>
  <si>
    <t>Serene Ferocity</t>
  </si>
  <si>
    <t>Suikast 3</t>
  </si>
  <si>
    <t>Taste of the Dragon</t>
  </si>
  <si>
    <t>Suikast 4</t>
  </si>
  <si>
    <t>The Dragon's Own Fire</t>
  </si>
  <si>
    <t>Suikast 5</t>
  </si>
  <si>
    <t>Burn the Dragon's Blood</t>
  </si>
  <si>
    <t>Sunnikuse 1</t>
  </si>
  <si>
    <t>Jinx</t>
  </si>
  <si>
    <t>Hidden pg 43</t>
  </si>
  <si>
    <t>Sunnikuse 2</t>
  </si>
  <si>
    <t>Evil Eye</t>
  </si>
  <si>
    <t>Sunnikuse 3</t>
  </si>
  <si>
    <t>Calamity</t>
  </si>
  <si>
    <t>Sunnikuse 4</t>
  </si>
  <si>
    <t>Twist of Fate</t>
  </si>
  <si>
    <t>Sunnikuse 5</t>
  </si>
  <si>
    <t>Gift of the Crow</t>
  </si>
  <si>
    <t>Tezcatl 1</t>
  </si>
  <si>
    <t>Conciliation</t>
  </si>
  <si>
    <t>Hidden pg 85</t>
  </si>
  <si>
    <t>Tezcatl 2</t>
  </si>
  <si>
    <t>Life's Reflection</t>
  </si>
  <si>
    <t>Tezcatl 3</t>
  </si>
  <si>
    <t>Focus the Aspect</t>
  </si>
  <si>
    <t>Tezcatl 4</t>
  </si>
  <si>
    <t>The Smoking Mirror</t>
  </si>
  <si>
    <t>Xinyao 1</t>
  </si>
  <si>
    <t>Clear the Path</t>
  </si>
  <si>
    <t>Chosen pg 101</t>
  </si>
  <si>
    <t>Xinyao 2</t>
  </si>
  <si>
    <t>Stoke the Flames</t>
  </si>
  <si>
    <t>Xinyao 3</t>
  </si>
  <si>
    <t>Sympathetic Call</t>
  </si>
  <si>
    <t>Xinyao 4</t>
  </si>
  <si>
    <t>Guiding the Conflagration</t>
  </si>
  <si>
    <t>exceeds Composure + BP</t>
  </si>
  <si>
    <t>Xinyao 5</t>
  </si>
  <si>
    <t>Shackle the Soul</t>
  </si>
  <si>
    <t>Zagovny 1</t>
  </si>
  <si>
    <t>Eye of Blood</t>
  </si>
  <si>
    <t>Ordo pg 195</t>
  </si>
  <si>
    <t>Zagovny 2</t>
  </si>
  <si>
    <t>Witch Cloak</t>
  </si>
  <si>
    <t>Zagovny 3</t>
  </si>
  <si>
    <t>Witch Gaze</t>
  </si>
  <si>
    <t>Zagovny 4</t>
  </si>
  <si>
    <t>Blood Minions</t>
  </si>
  <si>
    <t>Zagovny 5</t>
  </si>
  <si>
    <t>Flight of the Warlock</t>
  </si>
  <si>
    <t>Storyteller Email:</t>
  </si>
  <si>
    <t>Player Name:</t>
  </si>
  <si>
    <t>Email Address:</t>
  </si>
  <si>
    <t>Membership ID:</t>
  </si>
  <si>
    <t>Local Storyteller:</t>
  </si>
  <si>
    <t>Primary or Secondary:</t>
  </si>
  <si>
    <t>Character Domain:</t>
  </si>
  <si>
    <t>Direct Coordinator:</t>
  </si>
  <si>
    <t>Coordinator Email:</t>
  </si>
  <si>
    <t>Character Information</t>
  </si>
  <si>
    <t>Name:</t>
  </si>
  <si>
    <t>Age:</t>
  </si>
  <si>
    <t>Concept:</t>
  </si>
  <si>
    <t>Title</t>
  </si>
  <si>
    <t>Virtue:</t>
  </si>
  <si>
    <t>Vice:</t>
  </si>
  <si>
    <t>Clan:</t>
  </si>
  <si>
    <t>Bloodline:</t>
  </si>
  <si>
    <t>Covenant:</t>
  </si>
  <si>
    <t>Dual Cov:</t>
  </si>
  <si>
    <t>Blood Potency</t>
  </si>
  <si>
    <t>Blood Potency:</t>
  </si>
  <si>
    <t>Blood Pool:</t>
  </si>
  <si>
    <t>Blood per Turn:</t>
  </si>
  <si>
    <t>Current Blood:</t>
  </si>
  <si>
    <t>Only Select your Bloodline after disciplines have been purchased at in-clan cost</t>
  </si>
  <si>
    <t>Place the Covenant you are gaining benefits from in the Covenant cell</t>
  </si>
  <si>
    <t>Attributes</t>
  </si>
  <si>
    <t>Order of Priority:</t>
  </si>
  <si>
    <t>Mental</t>
  </si>
  <si>
    <t>CP</t>
  </si>
  <si>
    <t>FP</t>
  </si>
  <si>
    <t>Next Dot</t>
  </si>
  <si>
    <t>Intelligence</t>
  </si>
  <si>
    <t>Wits</t>
  </si>
  <si>
    <t>Resolve</t>
  </si>
  <si>
    <t>Creation Points Left</t>
  </si>
  <si>
    <t>Physical</t>
  </si>
  <si>
    <t>Strength</t>
  </si>
  <si>
    <t>Dexterity</t>
  </si>
  <si>
    <t>Stamina</t>
  </si>
  <si>
    <t>Social</t>
  </si>
  <si>
    <t>Presence</t>
  </si>
  <si>
    <t>Manipulation</t>
  </si>
  <si>
    <t>Composure</t>
  </si>
  <si>
    <t>Type</t>
  </si>
  <si>
    <t>Virtue</t>
  </si>
  <si>
    <t>Vice</t>
  </si>
  <si>
    <t>Humanity</t>
  </si>
  <si>
    <t>Investment mult</t>
  </si>
  <si>
    <t>Primary</t>
  </si>
  <si>
    <t>Charity</t>
  </si>
  <si>
    <t>Envy</t>
  </si>
  <si>
    <t>Secondary</t>
  </si>
  <si>
    <t>Faith</t>
  </si>
  <si>
    <t>Gluttony</t>
  </si>
  <si>
    <t>Fortitude</t>
  </si>
  <si>
    <t>Greed</t>
  </si>
  <si>
    <t>Hope</t>
  </si>
  <si>
    <t>Lust</t>
  </si>
  <si>
    <t>Ritual Mod</t>
  </si>
  <si>
    <t>Justice</t>
  </si>
  <si>
    <t>Pride</t>
  </si>
  <si>
    <t>Crúac</t>
  </si>
  <si>
    <t>Prudence</t>
  </si>
  <si>
    <t>Sloth</t>
  </si>
  <si>
    <t>Theban</t>
  </si>
  <si>
    <t>Temperance</t>
  </si>
  <si>
    <t>Wrath</t>
  </si>
  <si>
    <t>1 - Mental, Social, Physical</t>
  </si>
  <si>
    <t>Only enter a numerical value in this cell to represent age.</t>
  </si>
  <si>
    <t>2 - Mental, Physical, Social</t>
  </si>
  <si>
    <t>3 - Social, Physical, Mental</t>
  </si>
  <si>
    <t>4 - Social, Mental, Physical</t>
  </si>
  <si>
    <t>5 - Physical, Mental, Social</t>
  </si>
  <si>
    <t>6 - Physical, Social, Mental</t>
  </si>
  <si>
    <t>Yes</t>
  </si>
  <si>
    <t>Max</t>
  </si>
  <si>
    <t>Animalism</t>
  </si>
  <si>
    <t>Auspex</t>
  </si>
  <si>
    <t>Dominate</t>
  </si>
  <si>
    <t>Majesty</t>
  </si>
  <si>
    <t>Nightmare</t>
  </si>
  <si>
    <t>Obfuscate</t>
  </si>
  <si>
    <t>Protean</t>
  </si>
  <si>
    <t>Derangements</t>
  </si>
  <si>
    <t>Level</t>
  </si>
  <si>
    <t>Multiplier</t>
  </si>
  <si>
    <t>Number</t>
  </si>
  <si>
    <t>Empty</t>
  </si>
  <si>
    <t>Full</t>
  </si>
  <si>
    <t>š</t>
  </si>
  <si>
    <t>˜</t>
  </si>
  <si>
    <t>O</t>
  </si>
  <si>
    <t xml:space="preserve">[ ] </t>
  </si>
  <si>
    <t>¨</t>
  </si>
  <si>
    <t>šš</t>
  </si>
  <si>
    <t>˜˜</t>
  </si>
  <si>
    <t>OO</t>
  </si>
  <si>
    <t xml:space="preserve">[ ][ ] </t>
  </si>
  <si>
    <t>¨¨</t>
  </si>
  <si>
    <t>ššš</t>
  </si>
  <si>
    <t>˜˜˜</t>
  </si>
  <si>
    <t>OOO</t>
  </si>
  <si>
    <t xml:space="preserve">[ ][ ][ ] </t>
  </si>
  <si>
    <t>¨¨¨</t>
  </si>
  <si>
    <t>šššš</t>
  </si>
  <si>
    <t>˜˜˜˜</t>
  </si>
  <si>
    <t>OOOO</t>
  </si>
  <si>
    <t xml:space="preserve">[ ][ ][ ][ ] </t>
  </si>
  <si>
    <t>¨¨¨¨</t>
  </si>
  <si>
    <t>ššššš</t>
  </si>
  <si>
    <t>˜˜˜˜˜</t>
  </si>
  <si>
    <t>OOOOO</t>
  </si>
  <si>
    <t xml:space="preserve">[ ][ ][ ][ ][ ] </t>
  </si>
  <si>
    <t>¨¨¨¨¨</t>
  </si>
  <si>
    <t>šššššš</t>
  </si>
  <si>
    <t>˜˜˜˜˜˜</t>
  </si>
  <si>
    <t>OOOOOO</t>
  </si>
  <si>
    <t xml:space="preserve">[ ][ ][ ][ ][ ][ ] </t>
  </si>
  <si>
    <t>¨¨¨¨¨¨</t>
  </si>
  <si>
    <t>ššššššš</t>
  </si>
  <si>
    <t>˜˜˜˜˜˜˜</t>
  </si>
  <si>
    <t>OOOOOOO</t>
  </si>
  <si>
    <t xml:space="preserve">[ ][ ][ ][ ][ ][ ][ ] </t>
  </si>
  <si>
    <t>¨¨¨¨¨¨¨</t>
  </si>
  <si>
    <t>šššššššš</t>
  </si>
  <si>
    <t>˜˜˜˜˜˜˜˜</t>
  </si>
  <si>
    <t>OOOOOOOO</t>
  </si>
  <si>
    <t xml:space="preserve">[ ][ ][ ][ ][ ][ ][ ][ ] </t>
  </si>
  <si>
    <t>¨¨¨¨¨¨¨¨</t>
  </si>
  <si>
    <t>ššššššššš</t>
  </si>
  <si>
    <t>˜˜˜˜˜˜˜˜˜</t>
  </si>
  <si>
    <t>OOOOOOOOO</t>
  </si>
  <si>
    <t xml:space="preserve">[ ][ ][ ][ ][ ][ ][ ][ ][ ] </t>
  </si>
  <si>
    <t>¨¨¨¨¨¨¨¨¨</t>
  </si>
  <si>
    <t>šššššššššš</t>
  </si>
  <si>
    <t>˜˜˜˜˜˜˜˜˜˜</t>
  </si>
  <si>
    <t>OOOOOOOOOO</t>
  </si>
  <si>
    <t xml:space="preserve">[ ][ ][ ][ ][ ][ ][ ][ ][ ][ ] </t>
  </si>
  <si>
    <t>¨¨¨¨¨¨¨¨¨¨</t>
  </si>
  <si>
    <t>ššššššššššš</t>
  </si>
  <si>
    <t>˜˜˜˜˜˜˜˜˜˜˜</t>
  </si>
  <si>
    <t>OOOOOOOOOOO</t>
  </si>
  <si>
    <t xml:space="preserve">[ ][ ][ ][ ][ ][ ][ ][ ][ ][ ][ ] </t>
  </si>
  <si>
    <t>¨¨¨¨¨¨¨¨¨¨¨</t>
  </si>
  <si>
    <t>šššššššššššš</t>
  </si>
  <si>
    <t>˜˜˜˜˜˜˜˜˜˜˜˜</t>
  </si>
  <si>
    <t>OOOOOOOOOOOO</t>
  </si>
  <si>
    <t xml:space="preserve">[ ][ ][ ][ ][ ][ ][ ][ ][ ][ ][ ][ ] </t>
  </si>
  <si>
    <t>¨¨¨¨¨¨¨¨¨¨¨¨</t>
  </si>
  <si>
    <t>ššššššššššššš</t>
  </si>
  <si>
    <t>˜˜˜˜˜˜˜˜˜˜˜˜˜</t>
  </si>
  <si>
    <t>OOOOOOOOOOOOO</t>
  </si>
  <si>
    <t xml:space="preserve">[ ][ ][ ][ ][ ][ ][ ][ ][ ][ ][ ][ ][ ] </t>
  </si>
  <si>
    <t>¨¨¨¨¨¨¨¨¨¨¨¨¨</t>
  </si>
  <si>
    <t>šššššššššššššš</t>
  </si>
  <si>
    <t>˜˜˜˜˜˜˜˜˜˜˜˜˜˜</t>
  </si>
  <si>
    <t>OOOOOOOOOOOOOO</t>
  </si>
  <si>
    <t xml:space="preserve">[ ][ ][ ][ ][ ][ ][ ][ ][ ][ ][ ][ ][ ][ ] </t>
  </si>
  <si>
    <t>¨¨¨¨¨¨¨¨¨¨¨¨¨¨</t>
  </si>
  <si>
    <t>ššššššššššššššš</t>
  </si>
  <si>
    <t>˜˜˜˜˜˜˜˜˜˜˜˜˜˜˜</t>
  </si>
  <si>
    <t>OOOOOOOOOOOOOOO</t>
  </si>
  <si>
    <t xml:space="preserve">[ ][ ][ ][ ][ ][ ][ ][ ][ ][ ][ ][ ][ ][ ][ ] </t>
  </si>
  <si>
    <t>¨¨¨¨¨¨¨¨¨¨¨¨¨¨¨</t>
  </si>
  <si>
    <t>šššššššššššššššš</t>
  </si>
  <si>
    <t>˜˜˜˜˜˜˜˜˜˜˜˜˜˜˜˜</t>
  </si>
  <si>
    <t>OOOOOOOOOOOOOOOO</t>
  </si>
  <si>
    <t xml:space="preserve">[ ][ ][ ][ ][ ][ ][ ][ ][ ][ ][ ][ ][ ][ ][ ][ ] </t>
  </si>
  <si>
    <t>¨¨¨¨¨¨¨¨¨¨¨¨¨¨¨¨</t>
  </si>
  <si>
    <t>ššššššššššššššššš</t>
  </si>
  <si>
    <t>˜˜˜˜˜˜˜˜˜˜˜˜˜˜˜˜˜</t>
  </si>
  <si>
    <t>OOOOOOOOOOOOOOOOO</t>
  </si>
  <si>
    <t xml:space="preserve">[ ][ ][ ][ ][ ][ ][ ][ ][ ][ ][ ][ ][ ][ ][ ][ ][ ] </t>
  </si>
  <si>
    <t>¨¨¨¨¨¨¨¨¨¨¨¨¨¨¨¨¨</t>
  </si>
  <si>
    <t>šššššššššššššššššš</t>
  </si>
  <si>
    <t>˜˜˜˜˜˜˜˜˜˜˜˜˜˜˜˜˜˜</t>
  </si>
  <si>
    <t>OOOOOOOOOOOOOOOOOO</t>
  </si>
  <si>
    <t xml:space="preserve">[ ][ ][ ][ ][ ][ ][ ][ ][ ][ ][ ][ ][ ][ ][ ][ ][ ][ ] </t>
  </si>
  <si>
    <t>¨¨¨¨¨¨¨¨¨¨¨¨¨¨¨¨¨¨</t>
  </si>
  <si>
    <t>ššššššššššššššššššš</t>
  </si>
  <si>
    <t>˜˜˜˜˜˜˜˜˜˜˜˜˜˜˜˜˜˜˜</t>
  </si>
  <si>
    <t>OOOOOOOOOOOOOOOOOOO</t>
  </si>
  <si>
    <t xml:space="preserve">[ ][ ][ ][ ][ ][ ][ ][ ][ ][ ][ ][ ][ ][ ][ ][ ][ ][ ][ ] </t>
  </si>
  <si>
    <t>¨¨¨¨¨¨¨¨¨¨¨¨¨¨¨¨¨¨¨</t>
  </si>
  <si>
    <t>šššššššššššššššššššš</t>
  </si>
  <si>
    <t>˜˜˜˜˜˜˜˜˜˜˜˜˜˜˜˜˜˜˜˜</t>
  </si>
  <si>
    <t>OOOOOOOOOOOOOOOOOOOO</t>
  </si>
  <si>
    <t xml:space="preserve">[ ][ ][ ][ ][ ][ ][ ][ ][ ][ ][ ][ ][ ][ ][ ][ ][ ][ ][ ][ ] </t>
  </si>
  <si>
    <t>¨¨¨¨¨¨¨¨¨¨¨¨¨¨¨¨¨¨¨¨</t>
  </si>
  <si>
    <t>ššššššššššššššššššššš</t>
  </si>
  <si>
    <t>˜˜˜˜˜˜˜˜˜˜˜˜˜˜˜˜˜˜˜˜˜</t>
  </si>
  <si>
    <t>OOOOOOOOOOOOOOOOOOOOO</t>
  </si>
  <si>
    <t xml:space="preserve">[ ][ ][ ][ ][ ][ ][ ][ ][ ][ ][ ][ ][ ][ ][ ][ ][ ][ ][ ][ ][ ] </t>
  </si>
  <si>
    <t>¨¨¨¨¨¨¨¨¨¨¨¨¨¨¨¨¨¨¨¨¨</t>
  </si>
  <si>
    <t>šššššššššššššššššššššš</t>
  </si>
  <si>
    <t>˜˜˜˜˜˜˜˜˜˜˜˜˜˜˜˜˜˜˜˜˜˜</t>
  </si>
  <si>
    <t>OOOOOOOOOOOOOOOOOOOOOO</t>
  </si>
  <si>
    <t xml:space="preserve">[ ][ ][ ][ ][ ][ ][ ][ ][ ][ ][ ][ ][ ][ ][ ][ ][ ][ ][ ][ ][ ][ ] </t>
  </si>
  <si>
    <t>¨¨¨¨¨¨¨¨¨¨¨¨¨¨¨¨¨¨¨¨¨¨</t>
  </si>
  <si>
    <t>ššššššššššššššššššššššš</t>
  </si>
  <si>
    <t>˜˜˜˜˜˜˜˜˜˜˜˜˜˜˜˜˜˜˜˜˜˜˜</t>
  </si>
  <si>
    <t>OOOOOOOOOOOOOOOOOOOOOOO</t>
  </si>
  <si>
    <t xml:space="preserve">[ ][ ][ ][ ][ ][ ][ ][ ][ ][ ][ ][ ][ ][ ][ ][ ][ ][ ][ ][ ][ ][ ][ ] </t>
  </si>
  <si>
    <t>¨¨¨¨¨¨¨¨¨¨¨¨¨¨¨¨¨¨¨¨¨¨¨</t>
  </si>
  <si>
    <t>šššššššššššššššššššššššš</t>
  </si>
  <si>
    <t>˜˜˜˜˜˜˜˜˜˜˜˜˜˜˜˜˜˜˜˜˜˜˜˜</t>
  </si>
  <si>
    <t>OOOOOOOOOOOOOOOOOOOOOOOO</t>
  </si>
  <si>
    <t xml:space="preserve">[ ][ ][ ][ ][ ][ ][ ][ ][ ][ ][ ][ ][ ][ ][ ][ ][ ][ ][ ][ ][ ][ ][ ][ ] </t>
  </si>
  <si>
    <t>¨¨¨¨¨¨¨¨¨¨¨¨¨¨¨¨¨¨¨¨¨¨¨¨</t>
  </si>
  <si>
    <t>ššššššššššššššššššššššššš</t>
  </si>
  <si>
    <t>˜˜˜˜˜˜˜˜˜˜˜˜˜˜˜˜˜˜˜˜˜˜˜˜˜</t>
  </si>
  <si>
    <t>OOOOOOOOOOOOOOOOOOOOOOOOO</t>
  </si>
  <si>
    <t xml:space="preserve">[ ][ ][ ][ ][ ][ ][ ][ ][ ][ ][ ][ ][ ][ ][ ][ ][ ][ ][ ][ ][ ][ ][ ][ ][ ] </t>
  </si>
  <si>
    <t>¨¨¨¨¨¨¨¨¨¨¨¨¨¨¨¨¨¨¨¨¨¨¨¨¨</t>
  </si>
  <si>
    <t>šššššššššššššššššššššššššš</t>
  </si>
  <si>
    <t>˜˜˜˜˜˜˜˜˜˜˜˜˜˜˜˜˜˜˜˜˜˜˜˜˜˜</t>
  </si>
  <si>
    <t>OOOOOOOOOOOOOOOOOOOOOOOOOO</t>
  </si>
  <si>
    <t xml:space="preserve">[ ][ ][ ][ ][ ][ ][ ][ ][ ][ ][ ][ ][ ][ ][ ][ ][ ][ ][ ][ ][ ][ ][ ][ ][ ][ ] </t>
  </si>
  <si>
    <t>¨¨¨¨¨¨¨¨¨¨¨¨¨¨¨¨¨¨¨¨¨¨¨¨¨¨</t>
  </si>
  <si>
    <t>ššššššššššššššššššššššššššš</t>
  </si>
  <si>
    <t>˜˜˜˜˜˜˜˜˜˜˜˜˜˜˜˜˜˜˜˜˜˜˜˜˜˜˜</t>
  </si>
  <si>
    <t>OOOOOOOOOOOOOOOOOOOOOOOOOOO</t>
  </si>
  <si>
    <t xml:space="preserve">[ ][ ][ ][ ][ ][ ][ ][ ][ ][ ][ ][ ][ ][ ][ ][ ][ ][ ][ ][ ][ ][ ][ ][ ][ ][ ][ ] </t>
  </si>
  <si>
    <t>¨¨¨¨¨¨¨¨¨¨¨¨¨¨¨¨¨¨¨¨¨¨¨¨¨¨¨</t>
  </si>
  <si>
    <t>šššššššššššššššššššššššššššš</t>
  </si>
  <si>
    <t>˜˜˜˜˜˜˜˜˜˜˜˜˜˜˜˜˜˜˜˜˜˜˜˜˜˜˜˜</t>
  </si>
  <si>
    <t>OOOOOOOOOOOOOOOOOOOOOOOOOOOO</t>
  </si>
  <si>
    <t xml:space="preserve">[ ][ ][ ][ ][ ][ ][ ][ ][ ][ ][ ][ ][ ][ ][ ][ ][ ][ ][ ][ ][ ][ ][ ][ ][ ][ ][ ][ ] </t>
  </si>
  <si>
    <t>¨¨¨¨¨¨¨¨¨¨¨¨¨¨¨¨¨¨¨¨¨¨¨¨¨¨¨¨</t>
  </si>
  <si>
    <t>ššššššššššššššššššššššššššššš</t>
  </si>
  <si>
    <t>˜˜˜˜˜˜˜˜˜˜˜˜˜˜˜˜˜˜˜˜˜˜˜˜˜˜˜˜˜</t>
  </si>
  <si>
    <t>OOOOOOOOOOOOOOOOOOOOOOOOOOOOO</t>
  </si>
  <si>
    <t xml:space="preserve">[ ][ ][ ][ ][ ][ ][ ][ ][ ][ ][ ][ ][ ][ ][ ][ ][ ][ ][ ][ ][ ][ ][ ][ ][ ][ ][ ][ ][ ] </t>
  </si>
  <si>
    <t>¨¨¨¨¨¨¨¨¨¨¨¨¨¨¨¨¨¨¨¨¨¨¨¨¨¨¨¨¨</t>
  </si>
  <si>
    <t>šššššššššššššššššššššššššššššš</t>
  </si>
  <si>
    <t>˜˜˜˜˜˜˜˜˜˜˜˜˜˜˜˜˜˜˜˜˜˜˜˜˜˜˜˜˜˜</t>
  </si>
  <si>
    <t>OOOOOOOOOOOOOOOOOOOOOOOOOOOOOO</t>
  </si>
  <si>
    <t xml:space="preserve">[ ][ ][ ][ ][ ][ ][ ][ ][ ][ ][ ][ ][ ][ ][ ][ ][ ][ ][ ][ ][ ][ ][ ][ ][ ][ ][ ][ ][ ][ ] </t>
  </si>
  <si>
    <t>¨¨¨¨¨¨¨¨¨¨¨¨¨¨¨¨¨¨¨¨¨¨¨¨¨¨¨¨¨¨</t>
  </si>
  <si>
    <t>ššššššššššššššššššššššššššššššš</t>
  </si>
  <si>
    <t>˜˜˜˜˜˜˜˜˜˜˜˜˜˜˜˜˜˜˜˜˜˜˜˜˜˜˜˜˜˜˜</t>
  </si>
  <si>
    <t>OOOOOOOOOOOOOOOOOOOOOOOOOOOOOOO</t>
  </si>
  <si>
    <t xml:space="preserve">[ ][ ][ ][ ][ ][ ][ ][ ][ ][ ][ ][ ][ ][ ][ ][ ][ ][ ][ ][ ][ ][ ][ ][ ][ ][ ][ ][ ][ ][ ][ ] </t>
  </si>
  <si>
    <t>¨¨¨¨¨¨¨¨¨¨¨¨¨¨¨¨¨¨¨¨¨¨¨¨¨¨¨¨¨¨¨</t>
  </si>
  <si>
    <t>šššššššššššššššššššššššššššššššš</t>
  </si>
  <si>
    <t>˜˜˜˜˜˜˜˜˜˜˜˜˜˜˜˜˜˜˜˜˜˜˜˜˜˜˜˜˜˜˜˜</t>
  </si>
  <si>
    <t>OOOOOOOOOOOOOOOOOOOOOOOOOOOOOOOO</t>
  </si>
  <si>
    <t xml:space="preserve">[ ][ ][ ][ ][ ][ ][ ][ ][ ][ ][ ][ ][ ][ ][ ][ ][ ][ ][ ][ ][ ][ ][ ][ ][ ][ ][ ][ ][ ][ ][ ][ ] </t>
  </si>
  <si>
    <t>¨¨¨¨¨¨¨¨¨¨¨¨¨¨¨¨¨¨¨¨¨¨¨¨¨¨¨¨¨¨¨¨</t>
  </si>
  <si>
    <t>ššššššššššššššššššššššššššššššššš</t>
  </si>
  <si>
    <t>˜˜˜˜˜˜˜˜˜˜˜˜˜˜˜˜˜˜˜˜˜˜˜˜˜˜˜˜˜˜˜˜˜</t>
  </si>
  <si>
    <t>OOOOOOOOOOOOOOOOOOOOOOOOOOOOOOOOO</t>
  </si>
  <si>
    <t xml:space="preserve">[ ][ ][ ][ ][ ][ ][ ][ ][ ][ ][ ][ ][ ][ ][ ][ ][ ][ ][ ][ ][ ][ ][ ][ ][ ][ ][ ][ ][ ][ ][ ][ ][ ] </t>
  </si>
  <si>
    <t>¨¨¨¨¨¨¨¨¨¨¨¨¨¨¨¨¨¨¨¨¨¨¨¨¨¨¨¨¨¨¨¨¨</t>
  </si>
  <si>
    <t>šššššššššššššššššššššššššššššššššš</t>
  </si>
  <si>
    <t>˜˜˜˜˜˜˜˜˜˜˜˜˜˜˜˜˜˜˜˜˜˜˜˜˜˜˜˜˜˜˜˜˜˜</t>
  </si>
  <si>
    <t>OOOOOOOOOOOOOOOOOOOOOOOOOOOOOOOOOO</t>
  </si>
  <si>
    <t xml:space="preserve">[ ][ ][ ][ ][ ][ ][ ][ ][ ][ ][ ][ ][ ][ ][ ][ ][ ][ ][ ][ ][ ][ ][ ][ ][ ][ ][ ][ ][ ][ ][ ][ ][ ][ ] </t>
  </si>
  <si>
    <t>¨¨¨¨¨¨¨¨¨¨¨¨¨¨¨¨¨¨¨¨¨¨¨¨¨¨¨¨¨¨¨¨¨¨</t>
  </si>
  <si>
    <t>ššššššššššššššššššššššššššššššššššš</t>
  </si>
  <si>
    <t>˜˜˜˜˜˜˜˜˜˜˜˜˜˜˜˜˜˜˜˜˜˜˜˜˜˜˜˜˜˜˜˜˜˜˜</t>
  </si>
  <si>
    <t>OOOOOOOOOOOOOOOOOOOOOOOOOOOOOOOOOOO</t>
  </si>
  <si>
    <t xml:space="preserve">[ ][ ][ ][ ][ ][ ][ ][ ][ ][ ][ ][ ][ ][ ][ ][ ][ ][ ][ ][ ][ ][ ][ ][ ][ ][ ][ ][ ][ ][ ][ ][ ][ ][ ][ ] </t>
  </si>
  <si>
    <t>¨¨¨¨¨¨¨¨¨¨¨¨¨¨¨¨¨¨¨¨¨¨¨¨¨¨¨¨¨¨¨¨¨¨¨</t>
  </si>
  <si>
    <t>šššššššššššššššššššššššššššššššššššš</t>
  </si>
  <si>
    <t>˜˜˜˜˜˜˜˜˜˜˜˜˜˜˜˜˜˜˜˜˜˜˜˜˜˜˜˜˜˜˜˜˜˜˜˜</t>
  </si>
  <si>
    <t>OOOOOOOOOOOOOOOOOOOOOOOOOOOOOOOOOOOO</t>
  </si>
  <si>
    <t xml:space="preserve">[ ][ ][ ][ ][ ][ ][ ][ ][ ][ ][ ][ ][ ][ ][ ][ ][ ][ ][ ][ ][ ][ ][ ][ ][ ][ ][ ][ ][ ][ ][ ][ ][ ][ ][ ][ ] </t>
  </si>
  <si>
    <t>¨¨¨¨¨¨¨¨¨¨¨¨¨¨¨¨¨¨¨¨¨¨¨¨¨¨¨¨¨¨¨¨¨¨¨¨</t>
  </si>
  <si>
    <t>ššššššššššššššššššššššššššššššššššššš</t>
  </si>
  <si>
    <t>˜˜˜˜˜˜˜˜˜˜˜˜˜˜˜˜˜˜˜˜˜˜˜˜˜˜˜˜˜˜˜˜˜˜˜˜˜</t>
  </si>
  <si>
    <t>OOOOOOOOOOOOOOOOOOOOOOOOOOOOOOOOOOOOO</t>
  </si>
  <si>
    <t xml:space="preserve">[ ][ ][ ][ ][ ][ ][ ][ ][ ][ ][ ][ ][ ][ ][ ][ ][ ][ ][ ][ ][ ][ ][ ][ ][ ][ ][ ][ ][ ][ ][ ][ ][ ][ ][ ][ ][ ] </t>
  </si>
  <si>
    <t>¨¨¨¨¨¨¨¨¨¨¨¨¨¨¨¨¨¨¨¨¨¨¨¨¨¨¨¨¨¨¨¨¨¨¨¨¨</t>
  </si>
  <si>
    <t>šššššššššššššššššššššššššššššššššššššš</t>
  </si>
  <si>
    <t>˜˜˜˜˜˜˜˜˜˜˜˜˜˜˜˜˜˜˜˜˜˜˜˜˜˜˜˜˜˜˜˜˜˜˜˜˜˜</t>
  </si>
  <si>
    <t>OOOOOOOOOOOOOOOOOOOOOOOOOOOOOOOOOOOOOO</t>
  </si>
  <si>
    <t xml:space="preserve">[ ][ ][ ][ ][ ][ ][ ][ ][ ][ ][ ][ ][ ][ ][ ][ ][ ][ ][ ][ ][ ][ ][ ][ ][ ][ ][ ][ ][ ][ ][ ][ ][ ][ ][ ][ ][ ][ ] </t>
  </si>
  <si>
    <t>¨¨¨¨¨¨¨¨¨¨¨¨¨¨¨¨¨¨¨¨¨¨¨¨¨¨¨¨¨¨¨¨¨¨¨¨¨¨</t>
  </si>
  <si>
    <t>ššššššššššššššššššššššššššššššššššššššš</t>
  </si>
  <si>
    <t>˜˜˜˜˜˜˜˜˜˜˜˜˜˜˜˜˜˜˜˜˜˜˜˜˜˜˜˜˜˜˜˜˜˜˜˜˜˜˜</t>
  </si>
  <si>
    <t>OOOOOOOOOOOOOOOOOOOOOOOOOOOOOOOOOOOOOOO</t>
  </si>
  <si>
    <t xml:space="preserve">[ ][ ][ ][ ][ ][ ][ ][ ][ ][ ][ ][ ][ ][ ][ ][ ][ ][ ][ ][ ][ ][ ][ ][ ][ ][ ][ ][ ][ ][ ][ ][ ][ ][ ][ ][ ][ ][ ][ ] </t>
  </si>
  <si>
    <t>¨¨¨¨¨¨¨¨¨¨¨¨¨¨¨¨¨¨¨¨¨¨¨¨¨¨¨¨¨¨¨¨¨¨¨¨¨¨¨</t>
  </si>
  <si>
    <t>šššššššššššššššššššššššššššššššššššššššš</t>
  </si>
  <si>
    <t>˜˜˜˜˜˜˜˜˜˜˜˜˜˜˜˜˜˜˜˜˜˜˜˜˜˜˜˜˜˜˜˜˜˜˜˜˜˜˜˜</t>
  </si>
  <si>
    <t>OOOOOOOOOOOOOOOOOOOOOOOOOOOOOOOOOOOOOOOO</t>
  </si>
  <si>
    <t xml:space="preserve">[ ][ ][ ][ ][ ][ ][ ][ ][ ][ ][ ][ ][ ][ ][ ][ ][ ][ ][ ][ ][ ][ ][ ][ ][ ][ ][ ][ ][ ][ ][ ][ ][ ][ ][ ][ ][ ][ ][ ][ ] </t>
  </si>
  <si>
    <t>¨¨¨¨¨¨¨¨¨¨¨¨¨¨¨¨¨¨¨¨¨¨¨¨¨¨¨¨¨¨¨¨¨¨¨¨¨¨¨¨</t>
  </si>
  <si>
    <t>ššššššššššššššššššššššššššššššššššššššššš</t>
  </si>
  <si>
    <t>˜˜˜˜˜˜˜˜˜˜˜˜˜˜˜˜˜˜˜˜˜˜˜˜˜˜˜˜˜˜˜˜˜˜˜˜˜˜˜˜˜</t>
  </si>
  <si>
    <t>OOOOOOOOOOOOOOOOOOOOOOOOOOOOOOOOOOOOOOOOO</t>
  </si>
  <si>
    <t xml:space="preserve">[ ][ ][ ][ ][ ][ ][ ][ ][ ][ ][ ][ ][ ][ ][ ][ ][ ][ ][ ][ ][ ][ ][ ][ ][ ][ ][ ][ ][ ][ ][ ][ ][ ][ ][ ][ ][ ][ ][ ][ ][ ] </t>
  </si>
  <si>
    <t>¨¨¨¨¨¨¨¨¨¨¨¨¨¨¨¨¨¨¨¨¨¨¨¨¨¨¨¨¨¨¨¨¨¨¨¨¨¨¨¨¨</t>
  </si>
  <si>
    <t>šššššššššššššššššššššššššššššššššššššššššš</t>
  </si>
  <si>
    <t>˜˜˜˜˜˜˜˜˜˜˜˜˜˜˜˜˜˜˜˜˜˜˜˜˜˜˜˜˜˜˜˜˜˜˜˜˜˜˜˜˜˜</t>
  </si>
  <si>
    <t>OOOOOOOOOOOOOOOOOOOOOOOOOOOOOOOOOOOOOOOOOO</t>
  </si>
  <si>
    <t xml:space="preserve">[ ][ ][ ][ ][ ][ ][ ][ ][ ][ ][ ][ ][ ][ ][ ][ ][ ][ ][ ][ ][ ][ ][ ][ ][ ][ ][ ][ ][ ][ ][ ][ ][ ][ ][ ][ ][ ][ ][ ][ ][ ][ ] </t>
  </si>
  <si>
    <t>¨¨¨¨¨¨¨¨¨¨¨¨¨¨¨¨¨¨¨¨¨¨¨¨¨¨¨¨¨¨¨¨¨¨¨¨¨¨¨¨¨¨</t>
  </si>
  <si>
    <t>ššššššššššššššššššššššššššššššššššššššššššš</t>
  </si>
  <si>
    <t>˜˜˜˜˜˜˜˜˜˜˜˜˜˜˜˜˜˜˜˜˜˜˜˜˜˜˜˜˜˜˜˜˜˜˜˜˜˜˜˜˜˜˜</t>
  </si>
  <si>
    <t>OOOOOOOOOOOOOOOOOOOOOOOOOOOOOOOOOOOOOOOOOOO</t>
  </si>
  <si>
    <t xml:space="preserve">[ ][ ][ ][ ][ ][ ][ ][ ][ ][ ][ ][ ][ ][ ][ ][ ][ ][ ][ ][ ][ ][ ][ ][ ][ ][ ][ ][ ][ ][ ][ ][ ][ ][ ][ ][ ][ ][ ][ ][ ][ ][ ][ ] </t>
  </si>
  <si>
    <t>¨¨¨¨¨¨¨¨¨¨¨¨¨¨¨¨¨¨¨¨¨¨¨¨¨¨¨¨¨¨¨¨¨¨¨¨¨¨¨¨¨¨¨</t>
  </si>
  <si>
    <t>šššššššššššššššššššššššššššššššššššššššššššš</t>
  </si>
  <si>
    <t>˜˜˜˜˜˜˜˜˜˜˜˜˜˜˜˜˜˜˜˜˜˜˜˜˜˜˜˜˜˜˜˜˜˜˜˜˜˜˜˜˜˜˜˜</t>
  </si>
  <si>
    <t>OOOOOOOOOOOOOOOOOOOOOOOOOOOOOOOOOOOOOOOOOOOO</t>
  </si>
  <si>
    <t xml:space="preserve">[ ][ ][ ][ ][ ][ ][ ][ ][ ][ ][ ][ ][ ][ ][ ][ ][ ][ ][ ][ ][ ][ ][ ][ ][ ][ ][ ][ ][ ][ ][ ][ ][ ][ ][ ][ ][ ][ ][ ][ ][ ][ ][ ][ ] </t>
  </si>
  <si>
    <t>¨¨¨¨¨¨¨¨¨¨¨¨¨¨¨¨¨¨¨¨¨¨¨¨¨¨¨¨¨¨¨¨¨¨¨¨¨¨¨¨¨¨¨¨</t>
  </si>
  <si>
    <t>ššššššššššššššššššššššššššššššššššššššššššššš</t>
  </si>
  <si>
    <t>˜˜˜˜˜˜˜˜˜˜˜˜˜˜˜˜˜˜˜˜˜˜˜˜˜˜˜˜˜˜˜˜˜˜˜˜˜˜˜˜˜˜˜˜˜</t>
  </si>
  <si>
    <t>OOOOOOOOOOOOOOOOOOOOOOOOOOOOOOOOOOOOOOOOOOOOO</t>
  </si>
  <si>
    <t xml:space="preserve">[ ][ ][ ][ ][ ][ ][ ][ ][ ][ ][ ][ ][ ][ ][ ][ ][ ][ ][ ][ ][ ][ ][ ][ ][ ][ ][ ][ ][ ][ ][ ][ ][ ][ ][ ][ ][ ][ ][ ][ ][ ][ ][ ][ ][ ] </t>
  </si>
  <si>
    <t>¨¨¨¨¨¨¨¨¨¨¨¨¨¨¨¨¨¨¨¨¨¨¨¨¨¨¨¨¨¨¨¨¨¨¨¨¨¨¨¨¨¨¨¨¨</t>
  </si>
  <si>
    <t>šššššššššššššššššššššššššššššššššššššššššššššš</t>
  </si>
  <si>
    <t>˜˜˜˜˜˜˜˜˜˜˜˜˜˜˜˜˜˜˜˜˜˜˜˜˜˜˜˜˜˜˜˜˜˜˜˜˜˜˜˜˜˜˜˜˜˜</t>
  </si>
  <si>
    <t>OOOOOOOOOOOOOOOOOOOOOOOOOOOOOOOOOOOOOOOOOOOOOO</t>
  </si>
  <si>
    <t xml:space="preserve">[ ][ ][ ][ ][ ][ ][ ][ ][ ][ ][ ][ ][ ][ ][ ][ ][ ][ ][ ][ ][ ][ ][ ][ ][ ][ ][ ][ ][ ][ ][ ][ ][ ][ ][ ][ ][ ][ ][ ][ ][ ][ ][ ][ ][ ][ ] </t>
  </si>
  <si>
    <t>¨¨¨¨¨¨¨¨¨¨¨¨¨¨¨¨¨¨¨¨¨¨¨¨¨¨¨¨¨¨¨¨¨¨¨¨¨¨¨¨¨¨¨¨¨¨</t>
  </si>
  <si>
    <t>ššššššššššššššššššššššššššššššššššššššššššššššš</t>
  </si>
  <si>
    <t>˜˜˜˜˜˜˜˜˜˜˜˜˜˜˜˜˜˜˜˜˜˜˜˜˜˜˜˜˜˜˜˜˜˜˜˜˜˜˜˜˜˜˜˜˜˜˜</t>
  </si>
  <si>
    <t>OOOOOOOOOOOOOOOOOOOOOOOOOOOOOOOOOOOOOOOOOOOOOOO</t>
  </si>
  <si>
    <t xml:space="preserve">[ ][ ][ ][ ][ ][ ][ ][ ][ ][ ][ ][ ][ ][ ][ ][ ][ ][ ][ ][ ][ ][ ][ ][ ][ ][ ][ ][ ][ ][ ][ ][ ][ ][ ][ ][ ][ ][ ][ ][ ][ ][ ][ ][ ][ ][ ][ ] </t>
  </si>
  <si>
    <t>¨¨¨¨¨¨¨¨¨¨¨¨¨¨¨¨¨¨¨¨¨¨¨¨¨¨¨¨¨¨¨¨¨¨¨¨¨¨¨¨¨¨¨¨¨¨¨</t>
  </si>
  <si>
    <t>šššššššššššššššššššššššššššššššššššššššššššššššš</t>
  </si>
  <si>
    <t>˜˜˜˜˜˜˜˜˜˜˜˜˜˜˜˜˜˜˜˜˜˜˜˜˜˜˜˜˜˜˜˜˜˜˜˜˜˜˜˜˜˜˜˜˜˜˜˜</t>
  </si>
  <si>
    <t>OOOOOOOOOOOOOOOOOOOOOOOOOOOOOOOOOOOOOOOOOOOOOOOO</t>
  </si>
  <si>
    <t xml:space="preserve">[ ][ ][ ][ ][ ][ ][ ][ ][ ][ ][ ][ ][ ][ ][ ][ ][ ][ ][ ][ ][ ][ ][ ][ ][ ][ ][ ][ ][ ][ ][ ][ ][ ][ ][ ][ ][ ][ ][ ][ ][ ][ ][ ][ ][ ][ ][ ][ ] </t>
  </si>
  <si>
    <t>¨¨¨¨¨¨¨¨¨¨¨¨¨¨¨¨¨¨¨¨¨¨¨¨¨¨¨¨¨¨¨¨¨¨¨¨¨¨¨¨¨¨¨¨¨¨¨¨</t>
  </si>
  <si>
    <t>ššššššššššššššššššššššššššššššššššššššššššššššššš</t>
  </si>
  <si>
    <t>˜˜˜˜˜˜˜˜˜˜˜˜˜˜˜˜˜˜˜˜˜˜˜˜˜˜˜˜˜˜˜˜˜˜˜˜˜˜˜˜˜˜˜˜˜˜˜˜˜</t>
  </si>
  <si>
    <t>OOOOOOOOOOOOOOOOOOOOOOOOOOOOOOOOOOOOOOOOOOOOOOOOO</t>
  </si>
  <si>
    <t xml:space="preserve">[ ][ ][ ][ ][ ][ ][ ][ ][ ][ ][ ][ ][ ][ ][ ][ ][ ][ ][ ][ ][ ][ ][ ][ ][ ][ ][ ][ ][ ][ ][ ][ ][ ][ ][ ][ ][ ][ ][ ][ ][ ][ ][ ][ ][ ][ ][ ][ ][ ] </t>
  </si>
  <si>
    <t>¨¨¨¨¨¨¨¨¨¨¨¨¨¨¨¨¨¨¨¨¨¨¨¨¨¨¨¨¨¨¨¨¨¨¨¨¨¨¨¨¨¨¨¨¨¨¨¨¨</t>
  </si>
  <si>
    <t>šššššššššššššššššššššššššššššššššššššššššššššššššš</t>
  </si>
  <si>
    <t>˜˜˜˜˜˜˜˜˜˜˜˜˜˜˜˜˜˜˜˜˜˜˜˜˜˜˜˜˜˜˜˜˜˜˜˜˜˜˜˜˜˜˜˜˜˜˜˜˜˜</t>
  </si>
  <si>
    <t>OOOOOOOOOOOOOOOOOOOOOOOOOOOOOOOOOOOOOOOOOOOOOOOOOO</t>
  </si>
  <si>
    <t xml:space="preserve">[ ][ ][ ][ ][ ][ ][ ][ ][ ][ ][ ][ ][ ][ ][ ][ ][ ][ ][ ][ ][ ][ ][ ][ ][ ][ ][ ][ ][ ][ ][ ][ ][ ][ ][ ][ ][ ][ ][ ][ ][ ][ ][ ][ ][ ][ ][ ][ ][ ][ ] </t>
  </si>
  <si>
    <t>¨¨¨¨¨¨¨¨¨¨¨¨¨¨¨¨¨¨¨¨¨¨¨¨¨¨¨¨¨¨¨¨¨¨¨¨¨¨¨¨¨¨¨¨¨¨¨¨¨¨</t>
  </si>
  <si>
    <t>Covenant</t>
  </si>
  <si>
    <t>Carthian Movement</t>
  </si>
  <si>
    <t>Circle of the Crone</t>
  </si>
  <si>
    <t>Invictus</t>
  </si>
  <si>
    <t>Lancea Sanctum</t>
  </si>
  <si>
    <t>Ordo Dracul</t>
  </si>
  <si>
    <t>Unaligned</t>
  </si>
  <si>
    <t>Belials Brood</t>
  </si>
  <si>
    <t>VII</t>
  </si>
  <si>
    <t>Clan</t>
  </si>
  <si>
    <t>Daeva</t>
  </si>
  <si>
    <t>Gangrel</t>
  </si>
  <si>
    <t>Mekhet</t>
  </si>
  <si>
    <t>Nosferatu</t>
  </si>
  <si>
    <t>Ventrue</t>
  </si>
  <si>
    <t>Attr/Skill Max</t>
  </si>
  <si>
    <t>Max Blood</t>
  </si>
  <si>
    <t>Max Blood per turn</t>
  </si>
  <si>
    <t>Feed From...</t>
  </si>
  <si>
    <t>Animals</t>
  </si>
  <si>
    <t>Humans</t>
  </si>
  <si>
    <t>Vampire</t>
  </si>
  <si>
    <t>¨¨¨¨¨¨¨¨¨¨¨¨¨¨¨¨¨¨¨¨¨¨¨¨¨¨¨¨¨¨¨¨¨¨¨¨¨¨¨¨¨¨¨¨¨¨¨¨¨¨¨¨¨¨¨¨¨¨¨¨¨¨¨¨¨¨¨¨¨¨¨¨¨¨¨¨¨¨¨¨¨¨¨¨¨¨¨¨¨¨¨¨¨¨¨¨¨¨¨¨</t>
  </si>
  <si>
    <t>XP Tracker</t>
  </si>
  <si>
    <t>Sheet</t>
  </si>
  <si>
    <t>%</t>
  </si>
  <si>
    <t>Log</t>
  </si>
  <si>
    <t>XP Log</t>
  </si>
  <si>
    <t>XP Earned:</t>
  </si>
  <si>
    <t>Skills</t>
  </si>
  <si>
    <t>XP Spent:</t>
  </si>
  <si>
    <t>Specialization</t>
  </si>
  <si>
    <t>XP Left:</t>
  </si>
  <si>
    <t>Merits</t>
  </si>
  <si>
    <t>Lost Merits</t>
  </si>
  <si>
    <t>Rituals</t>
  </si>
  <si>
    <t>Devotions</t>
  </si>
  <si>
    <t>Willpower</t>
  </si>
  <si>
    <t>Oaths</t>
  </si>
  <si>
    <t>3 XP per specialisation</t>
  </si>
  <si>
    <t>Specialisation</t>
  </si>
  <si>
    <t>Academics</t>
  </si>
  <si>
    <t>Computer</t>
  </si>
  <si>
    <t>Craft</t>
  </si>
  <si>
    <t>Investigation</t>
  </si>
  <si>
    <t>Medicine</t>
  </si>
  <si>
    <t>Occult</t>
  </si>
  <si>
    <t>Politics</t>
  </si>
  <si>
    <t>Science</t>
  </si>
  <si>
    <t>Athletics</t>
  </si>
  <si>
    <t>Brawl</t>
  </si>
  <si>
    <t>Drive</t>
  </si>
  <si>
    <t>Firearms</t>
  </si>
  <si>
    <t>Larceny</t>
  </si>
  <si>
    <t>Stealth</t>
  </si>
  <si>
    <t>Survival</t>
  </si>
  <si>
    <t>Weaponry</t>
  </si>
  <si>
    <t>Animal Ken</t>
  </si>
  <si>
    <t>Empathy</t>
  </si>
  <si>
    <t>Expression</t>
  </si>
  <si>
    <t>Intimidation</t>
  </si>
  <si>
    <t>Persuasion</t>
  </si>
  <si>
    <t>Socialize</t>
  </si>
  <si>
    <t>Streetwise</t>
  </si>
  <si>
    <t>Subterfuge</t>
  </si>
  <si>
    <t>Creation Points</t>
  </si>
  <si>
    <t>Lost Merit XP:</t>
  </si>
  <si>
    <t>Share</t>
  </si>
  <si>
    <t>FP:</t>
  </si>
  <si>
    <t>*Free - Enter Level</t>
  </si>
  <si>
    <t>Status (Enter City)</t>
  </si>
  <si>
    <t>2nd Cost</t>
  </si>
  <si>
    <t>Requirement</t>
  </si>
  <si>
    <t>Fighting Style: Unarmed Aggressive</t>
  </si>
  <si>
    <t>Fighting Style: Unarmed Defensive</t>
  </si>
  <si>
    <t>Fighting Style: Heavy Weaponry</t>
  </si>
  <si>
    <t>Fighting Style: Light Weaponry</t>
  </si>
  <si>
    <t>Fighting Style: Firearms</t>
  </si>
  <si>
    <t>Fighting Style: Tooth and Claw</t>
  </si>
  <si>
    <t>Fighting Style: Grappling</t>
  </si>
  <si>
    <t>Grad</t>
  </si>
  <si>
    <t>Fighting Style: Ranged (Bow)</t>
  </si>
  <si>
    <t>Fighting Style: Ranged (Thrown)</t>
  </si>
  <si>
    <t>Allies</t>
  </si>
  <si>
    <t>Ambidextrous</t>
  </si>
  <si>
    <t>Anonymity (2)</t>
  </si>
  <si>
    <t>Anonymity (3)</t>
  </si>
  <si>
    <t>Anonymity (4)</t>
  </si>
  <si>
    <t>Area of Expertise</t>
  </si>
  <si>
    <t>Armoured Fighting (2)</t>
  </si>
  <si>
    <t>Armoured Fighting (4)</t>
  </si>
  <si>
    <t>Armoury</t>
  </si>
  <si>
    <t>Athletics Dodge</t>
  </si>
  <si>
    <t>Barfly</t>
  </si>
  <si>
    <t>Barrister</t>
  </si>
  <si>
    <t>Bureaucratic Navigator</t>
  </si>
  <si>
    <t>Brawling Dodge</t>
  </si>
  <si>
    <t>Combat Awareness</t>
  </si>
  <si>
    <t>Common Sense (Learned)</t>
  </si>
  <si>
    <t>Common Sense (Innate)</t>
  </si>
  <si>
    <t>Contacts</t>
  </si>
  <si>
    <t>Danger Sense</t>
  </si>
  <si>
    <t>Dead Reckoning</t>
  </si>
  <si>
    <t>Demolisher</t>
  </si>
  <si>
    <t>Difficult to Ride</t>
  </si>
  <si>
    <t>Direction Sense</t>
  </si>
  <si>
    <t>Disarm</t>
  </si>
  <si>
    <t>Eidetic Memory</t>
  </si>
  <si>
    <t>Emotional Detachment</t>
  </si>
  <si>
    <t>Encyclopedic Knowledge</t>
  </si>
  <si>
    <t>Entering Strike</t>
  </si>
  <si>
    <t>Equipped Grappling</t>
  </si>
  <si>
    <t>Fame</t>
  </si>
  <si>
    <t>Fast Reflexes (1)</t>
  </si>
  <si>
    <t>Fast Reflexes (2)</t>
  </si>
  <si>
    <t>Fence (1)</t>
  </si>
  <si>
    <t>Fence (3)</t>
  </si>
  <si>
    <t>Fighting Finesse</t>
  </si>
  <si>
    <t>Firearms Retention</t>
  </si>
  <si>
    <t>Fleet of Foot</t>
  </si>
  <si>
    <t>Giant</t>
  </si>
  <si>
    <t>Good Time Management</t>
  </si>
  <si>
    <t>Gunslinger</t>
  </si>
  <si>
    <t>Heavy Hands</t>
  </si>
  <si>
    <t>Higher Calling</t>
  </si>
  <si>
    <t>Hobbyist Clique</t>
  </si>
  <si>
    <t>Holistic Awareness</t>
  </si>
  <si>
    <t>Informative (2)</t>
  </si>
  <si>
    <t>Informative (4)</t>
  </si>
  <si>
    <t>Ingratiating Wanderer</t>
  </si>
  <si>
    <t>Inspiring</t>
  </si>
  <si>
    <t>Interdisciplinary Specialty</t>
  </si>
  <si>
    <t>Iron Stamina</t>
  </si>
  <si>
    <t>Iron Stomach</t>
  </si>
  <si>
    <t>Language</t>
  </si>
  <si>
    <t>Location (Library)</t>
  </si>
  <si>
    <t>Location (Occultation)</t>
  </si>
  <si>
    <t>Location (Security)</t>
  </si>
  <si>
    <t>Location (Size)</t>
  </si>
  <si>
    <t>Location (Workshop)</t>
  </si>
  <si>
    <t>Meditative Mind</t>
  </si>
  <si>
    <t>Mentor</t>
  </si>
  <si>
    <t>Luxury (2)</t>
  </si>
  <si>
    <t>Luxury (4)</t>
  </si>
  <si>
    <t>Multi-lingual</t>
  </si>
  <si>
    <t>Natural Immunity</t>
  </si>
  <si>
    <t>New Identity (1)</t>
  </si>
  <si>
    <t>New Identity (2)</t>
  </si>
  <si>
    <t>New Identity (4)</t>
  </si>
  <si>
    <t>Outdoorsman</t>
  </si>
  <si>
    <t>Parkour</t>
  </si>
  <si>
    <t>Perfect Stillness</t>
  </si>
  <si>
    <t>Pet (1)</t>
  </si>
  <si>
    <t>Pet (2)</t>
  </si>
  <si>
    <t>Pet (3)</t>
  </si>
  <si>
    <t>Pet (4)</t>
  </si>
  <si>
    <t>Pleasing Aura</t>
  </si>
  <si>
    <t>Quick Draw</t>
  </si>
  <si>
    <t>Quick Healer</t>
  </si>
  <si>
    <t>Resources</t>
  </si>
  <si>
    <t>Retainer</t>
  </si>
  <si>
    <t>Shield Bearer</t>
  </si>
  <si>
    <t>Small Unit Tactics</t>
  </si>
  <si>
    <t>Spelunker</t>
  </si>
  <si>
    <t>Staff</t>
  </si>
  <si>
    <t>Status</t>
  </si>
  <si>
    <t>Steady Driver</t>
  </si>
  <si>
    <t>Strong Back</t>
  </si>
  <si>
    <t>Technophile</t>
  </si>
  <si>
    <t>The Weapon at Hand</t>
  </si>
  <si>
    <t>Tolerance of Biology</t>
  </si>
  <si>
    <t>Toxin Resistance</t>
  </si>
  <si>
    <t>Trip Sitter</t>
  </si>
  <si>
    <t>Unobtrusive</t>
  </si>
  <si>
    <t>Vision</t>
  </si>
  <si>
    <t>Weaponry Dodge</t>
  </si>
  <si>
    <t>Well-Travelled</t>
  </si>
  <si>
    <t>Wheelman</t>
  </si>
  <si>
    <t>Striking Looks (2)</t>
  </si>
  <si>
    <t>Striking Looks (4)</t>
  </si>
  <si>
    <t>Stunt Driver (Vehicle)</t>
  </si>
  <si>
    <t>Stunt Driver (Animal)</t>
  </si>
  <si>
    <t>Trained Observer (1)</t>
  </si>
  <si>
    <t>Trained Observer (3)</t>
  </si>
  <si>
    <t>Close Family</t>
  </si>
  <si>
    <t>Herd</t>
  </si>
  <si>
    <t>Social Chameleon</t>
  </si>
  <si>
    <t>Voyeur (3)</t>
  </si>
  <si>
    <t>Voyeur (5)</t>
  </si>
  <si>
    <t>Inhuman Resistance</t>
  </si>
  <si>
    <t>Of Rose and Thorn</t>
  </si>
  <si>
    <t>Doll Face</t>
  </si>
  <si>
    <t>Dream Visions</t>
  </si>
  <si>
    <t>Location (Necropolis)</t>
  </si>
  <si>
    <t>Unyielding Mask (3)</t>
  </si>
  <si>
    <t>Unyielding Mask (4)</t>
  </si>
  <si>
    <t>Inherited Resistance (2)</t>
  </si>
  <si>
    <t>Inherited Resistance (4)</t>
  </si>
  <si>
    <t>Lordly Palette</t>
  </si>
  <si>
    <t>Night Doctor Surgery</t>
  </si>
  <si>
    <t>Altar (1)</t>
  </si>
  <si>
    <t>Altar (2)</t>
  </si>
  <si>
    <t>Speaker of the Eclipsed</t>
  </si>
  <si>
    <t>Torpor Connection</t>
  </si>
  <si>
    <t>Will of the Dynasty</t>
  </si>
  <si>
    <t>Geomantic Nexus Potency</t>
  </si>
  <si>
    <t>Geomantic Nexus Size</t>
  </si>
  <si>
    <t>Mind of the Devouring Worm</t>
  </si>
  <si>
    <t>Mind of the Unblinking Serpent</t>
  </si>
  <si>
    <t>Mysteries of Vitae</t>
  </si>
  <si>
    <t>Fresh Start (1)</t>
  </si>
  <si>
    <t>Fresh Start (2)</t>
  </si>
  <si>
    <t>Weapons to Empty Hands</t>
  </si>
  <si>
    <t>Merit</t>
  </si>
  <si>
    <t>Cov Modifier</t>
  </si>
  <si>
    <t>Bloodline</t>
  </si>
  <si>
    <t>Parent Clan</t>
  </si>
  <si>
    <t>Discipline 1</t>
  </si>
  <si>
    <t>Discipline 2</t>
  </si>
  <si>
    <t>Discipline 3</t>
  </si>
  <si>
    <t>Discipline 4</t>
  </si>
  <si>
    <t>Requirements</t>
  </si>
  <si>
    <t>Agonistes</t>
  </si>
  <si>
    <t>Mortifiers of the Flesh</t>
  </si>
  <si>
    <t>Daeva/Gangrel/Mekhet/Nosferatu/Ventrue</t>
  </si>
  <si>
    <t>Scourge</t>
  </si>
  <si>
    <t>Anvari</t>
  </si>
  <si>
    <t>Nepenthe</t>
  </si>
  <si>
    <t>Duchagne</t>
  </si>
  <si>
    <t>Licencieux</t>
  </si>
  <si>
    <t>Erzébet</t>
  </si>
  <si>
    <t>Nelapsi</t>
  </si>
  <si>
    <t>Spina</t>
  </si>
  <si>
    <t>Courtoisie</t>
  </si>
  <si>
    <t>Toreador</t>
  </si>
  <si>
    <t>Annunaku</t>
  </si>
  <si>
    <t>Tenure</t>
  </si>
  <si>
    <t>Carnon</t>
  </si>
  <si>
    <t>Childer of Morrigan</t>
  </si>
  <si>
    <t>Hounds of Actaeon</t>
  </si>
  <si>
    <t>Richmond</t>
  </si>
  <si>
    <t>Taifa</t>
  </si>
  <si>
    <t>Libitinarius</t>
  </si>
  <si>
    <t>Norvegi</t>
  </si>
  <si>
    <t>Bloodworking</t>
  </si>
  <si>
    <t>Osites</t>
  </si>
  <si>
    <t>Memento Mori</t>
  </si>
  <si>
    <t>Players</t>
  </si>
  <si>
    <t>Tismanu</t>
  </si>
  <si>
    <t>Eupraxia</t>
  </si>
  <si>
    <t>Morbus</t>
  </si>
  <si>
    <t>Cachexy</t>
  </si>
  <si>
    <t>Caporetti</t>
  </si>
  <si>
    <t>The Cockscomb Society</t>
  </si>
  <si>
    <t>Morotrophians</t>
  </si>
  <si>
    <t>Institutionalize</t>
  </si>
  <si>
    <t>Noctuku</t>
  </si>
  <si>
    <t>Phagia</t>
  </si>
  <si>
    <t>Order of St Martin</t>
  </si>
  <si>
    <t>Rakshasa</t>
  </si>
  <si>
    <t>Bron</t>
  </si>
  <si>
    <t>Crochan</t>
  </si>
  <si>
    <t>Deucalion</t>
  </si>
  <si>
    <t>Impurity</t>
  </si>
  <si>
    <t>Icarians</t>
  </si>
  <si>
    <t>Constance</t>
  </si>
  <si>
    <t>Malkovians</t>
  </si>
  <si>
    <t>Rötgrafen</t>
  </si>
  <si>
    <t>Sotoha</t>
  </si>
  <si>
    <t>Kamen</t>
  </si>
  <si>
    <t>Clan Discipline</t>
  </si>
  <si>
    <t>Clan Level</t>
  </si>
  <si>
    <t>Bloodline Discipline</t>
  </si>
  <si>
    <t>Bloodline Level</t>
  </si>
  <si>
    <t>Theban Sorcery</t>
  </si>
  <si>
    <t>Item</t>
  </si>
  <si>
    <t>Wood</t>
  </si>
  <si>
    <t>Water</t>
  </si>
  <si>
    <t>Natural Stone</t>
  </si>
  <si>
    <t>Processed Stone</t>
  </si>
  <si>
    <t>Cruac &amp; Theban Rituals</t>
  </si>
  <si>
    <t>Cruac Rituals</t>
  </si>
  <si>
    <t>Theban Rituals</t>
  </si>
  <si>
    <t>Cruac</t>
  </si>
  <si>
    <t>Free Levels Remaining:</t>
  </si>
  <si>
    <t>Spoiling</t>
  </si>
  <si>
    <t>Level 1</t>
  </si>
  <si>
    <t>Level 2</t>
  </si>
  <si>
    <t>Level 3</t>
  </si>
  <si>
    <t>Level 4</t>
  </si>
  <si>
    <t>Level 5</t>
  </si>
  <si>
    <t>Coils of the Dragon</t>
  </si>
  <si>
    <t>Coil of Banes</t>
  </si>
  <si>
    <t>Conquer the Red Fear</t>
  </si>
  <si>
    <t>Surmounting the Daysleep</t>
  </si>
  <si>
    <t>Sun's Forgotten Kiss</t>
  </si>
  <si>
    <t>Mortal Burns</t>
  </si>
  <si>
    <t>Coil of Blood</t>
  </si>
  <si>
    <t>Blood Seeps Slowly</t>
  </si>
  <si>
    <t>Blood of Beasts</t>
  </si>
  <si>
    <t>Perspicacious Blood</t>
  </si>
  <si>
    <t>Orphaned Blood</t>
  </si>
  <si>
    <t>Coil of Beast</t>
  </si>
  <si>
    <t>Chastise the Beast</t>
  </si>
  <si>
    <t>Lure the Beast</t>
  </si>
  <si>
    <t>Exhaust the Beast</t>
  </si>
  <si>
    <t>Saddle the Beast</t>
  </si>
  <si>
    <t>Coil of Flesh</t>
  </si>
  <si>
    <t>The Man Wakes</t>
  </si>
  <si>
    <t>A Taste of Life</t>
  </si>
  <si>
    <t>The Face of Man</t>
  </si>
  <si>
    <t>The Bruise of Life</t>
  </si>
  <si>
    <t>Coil of Soul</t>
  </si>
  <si>
    <t>Enliven the Face</t>
  </si>
  <si>
    <t>Salve the Mind</t>
  </si>
  <si>
    <t>Quiet the Soul</t>
  </si>
  <si>
    <t>Free the Beast</t>
  </si>
  <si>
    <t>Bloodworking 1</t>
  </si>
  <si>
    <t>Fingertongue</t>
  </si>
  <si>
    <t>Mekhet pg 100 - 101</t>
  </si>
  <si>
    <t>Bloodworking 2</t>
  </si>
  <si>
    <t>Skewer</t>
  </si>
  <si>
    <t>Bloodworking 3</t>
  </si>
  <si>
    <t>Bloodshell</t>
  </si>
  <si>
    <t>Bloodworking 4</t>
  </si>
  <si>
    <t>Fleshdart</t>
  </si>
  <si>
    <t>Minus Defense</t>
  </si>
  <si>
    <t>Bloodworking 5</t>
  </si>
  <si>
    <t>Erupting Quills</t>
  </si>
  <si>
    <t>3V</t>
  </si>
  <si>
    <t>Cachexy 1</t>
  </si>
  <si>
    <t>Diagnose</t>
  </si>
  <si>
    <t>VTR pg 249</t>
  </si>
  <si>
    <t>Cachexy 2</t>
  </si>
  <si>
    <t>Contaminate</t>
  </si>
  <si>
    <t>Cachexy 3</t>
  </si>
  <si>
    <t>Inflame</t>
  </si>
  <si>
    <t>Cachexy 4</t>
  </si>
  <si>
    <t>Plague-Bearer</t>
  </si>
  <si>
    <t>Cachexy 5</t>
  </si>
  <si>
    <t>Accelerate Disease</t>
  </si>
  <si>
    <t>Chorozon 1</t>
  </si>
  <si>
    <t>Consolamentum</t>
  </si>
  <si>
    <t>Belial pg 126</t>
  </si>
  <si>
    <t>Chorozon 2</t>
  </si>
  <si>
    <t>Convenenza</t>
  </si>
  <si>
    <t>Chorozon 3</t>
  </si>
  <si>
    <t>Endura</t>
  </si>
  <si>
    <t>Chorozon 4</t>
  </si>
  <si>
    <t>Reconsolatio</t>
  </si>
  <si>
    <t>Crochan 1</t>
  </si>
  <si>
    <t>Swift Flow of the Blood</t>
  </si>
  <si>
    <t>Legendary pg 18</t>
  </si>
  <si>
    <t>Crochan 2</t>
  </si>
  <si>
    <t>Blight of the Fisher King</t>
  </si>
  <si>
    <t>Crochan 3</t>
  </si>
  <si>
    <t>Bitter Humours</t>
  </si>
  <si>
    <t>1V + 1V per corruption</t>
  </si>
  <si>
    <t>Crochan 4</t>
  </si>
  <si>
    <t>Restoration of the Maimed</t>
  </si>
  <si>
    <t>2V or 3V</t>
  </si>
  <si>
    <t>Crochan 5</t>
  </si>
  <si>
    <t>Stolen Blood, Stolen Life</t>
  </si>
  <si>
    <t>Despond 1</t>
  </si>
  <si>
    <t>Self Doubt</t>
  </si>
  <si>
    <t>Legendary pg 47</t>
  </si>
  <si>
    <t>Despond 2</t>
  </si>
  <si>
    <t>Doomed to Fail</t>
  </si>
  <si>
    <t>Despond 3</t>
  </si>
  <si>
    <t>Dark Night of the Soul</t>
  </si>
  <si>
    <t>Despond 4</t>
  </si>
  <si>
    <t>Melancholy</t>
  </si>
  <si>
    <t>1W or 2W</t>
  </si>
  <si>
    <t>Despond 5</t>
  </si>
  <si>
    <t>The Earth Rejects Thee</t>
  </si>
  <si>
    <t>Getsumei 1</t>
  </si>
  <si>
    <t>Moonlit Preservation</t>
  </si>
  <si>
    <t>VTR pg 250</t>
  </si>
  <si>
    <t>Getsumei 2</t>
  </si>
  <si>
    <t>Crow's Harvest</t>
  </si>
  <si>
    <t>Getsumei 3</t>
  </si>
  <si>
    <t>Corpse Skin</t>
  </si>
  <si>
    <t>Getsumei 4</t>
  </si>
  <si>
    <t>Channel of Hasu-ko</t>
  </si>
  <si>
    <t>Getsumei 5</t>
  </si>
  <si>
    <t>Convocation of Hotoke</t>
  </si>
  <si>
    <t>Gustus 1</t>
  </si>
  <si>
    <t>Pound of Flesh</t>
  </si>
  <si>
    <t>1W per pound of flesh</t>
  </si>
  <si>
    <t>Legendary pg 100</t>
  </si>
  <si>
    <t>Gustus 2</t>
  </si>
  <si>
    <t>Gorge</t>
  </si>
  <si>
    <t>Gustus 3</t>
  </si>
  <si>
    <t>Befoul</t>
  </si>
  <si>
    <t>Gustus 4</t>
  </si>
  <si>
    <t>Disgorge</t>
  </si>
  <si>
    <t>1V per Agg Damage</t>
  </si>
  <si>
    <t>Gustus 5</t>
  </si>
  <si>
    <t>Puissance of Flesh</t>
  </si>
  <si>
    <t>Lithopedia 1</t>
  </si>
  <si>
    <t>Use of level 1 Rituals</t>
  </si>
  <si>
    <t>Sinners pg 120</t>
  </si>
  <si>
    <t>Lithopedia 2</t>
  </si>
  <si>
    <t>Use of level 2 Rituals</t>
  </si>
  <si>
    <t>Lithopedia 3</t>
  </si>
  <si>
    <t>Use of level 3 Rituals</t>
  </si>
  <si>
    <t>Lithopedia 4</t>
  </si>
  <si>
    <t>Use of level 4 Rituals</t>
  </si>
  <si>
    <t>Lithopedia 5</t>
  </si>
  <si>
    <t>Use of level 5 Rituals</t>
  </si>
  <si>
    <t>Logos 1</t>
  </si>
  <si>
    <t>Synaesthesia</t>
  </si>
  <si>
    <t>None or 1W</t>
  </si>
  <si>
    <t>Custom Addenda</t>
  </si>
  <si>
    <t>Logos 2</t>
  </si>
  <si>
    <t>Eureka</t>
  </si>
  <si>
    <t>Logos 3</t>
  </si>
  <si>
    <t>Insight</t>
  </si>
  <si>
    <t>Logos 4</t>
  </si>
  <si>
    <t>Cognition</t>
  </si>
  <si>
    <t>Logos 5</t>
  </si>
  <si>
    <t>Apotheosis</t>
  </si>
  <si>
    <t>2V + 1W</t>
  </si>
  <si>
    <t>Meminisse 1</t>
  </si>
  <si>
    <t>Create Ties</t>
  </si>
  <si>
    <t>Mehket pg 104</t>
  </si>
  <si>
    <t>Meminisse 2</t>
  </si>
  <si>
    <t>Dipping in the Pool</t>
  </si>
  <si>
    <t>Meminisse 3</t>
  </si>
  <si>
    <t>Sever Ties</t>
  </si>
  <si>
    <t>vs. Resolve + Stamina + BP</t>
  </si>
  <si>
    <t>Meminisse 4</t>
  </si>
  <si>
    <t>The Exchange of Things Past</t>
  </si>
  <si>
    <t>Meminisse 5</t>
  </si>
  <si>
    <t>The Thief of Minds</t>
  </si>
  <si>
    <t>vs. Resolve + Composure + BP</t>
  </si>
  <si>
    <t>Motus 1</t>
  </si>
  <si>
    <t>Talaris "Winged Sandals"</t>
  </si>
  <si>
    <t>Motus 2</t>
  </si>
  <si>
    <t>Pentaurum "Spring Board"</t>
  </si>
  <si>
    <t>Motus 3</t>
  </si>
  <si>
    <t>Lapsus "Gradual Movement"</t>
  </si>
  <si>
    <t>Motus 4</t>
  </si>
  <si>
    <t>Donum Minervae "Gift of Minerva"</t>
  </si>
  <si>
    <t>Motus 5</t>
  </si>
  <si>
    <t>Speculum Gradus "Mirror Step"</t>
  </si>
  <si>
    <t>Ortram 1</t>
  </si>
  <si>
    <t>Essence Vitae Absolute</t>
  </si>
  <si>
    <t>1V per dose</t>
  </si>
  <si>
    <t>Legendary pg 75</t>
  </si>
  <si>
    <t>Ortram 2</t>
  </si>
  <si>
    <t>Ortram 3</t>
  </si>
  <si>
    <t>Ortram 4</t>
  </si>
  <si>
    <t>Ortram 5</t>
  </si>
  <si>
    <t>Scyld 1</t>
  </si>
  <si>
    <t>Scyld 2</t>
  </si>
  <si>
    <t>Scyld 3</t>
  </si>
  <si>
    <t>Scyld 4</t>
  </si>
  <si>
    <t>Scyld 5</t>
  </si>
  <si>
    <t>Shihai 1</t>
  </si>
  <si>
    <t>Roots of the Earth</t>
  </si>
  <si>
    <t>Legendary pg 87</t>
  </si>
  <si>
    <t>Shihai 2</t>
  </si>
  <si>
    <t>Sate the Tiger's Hunger</t>
  </si>
  <si>
    <t>Shihai 3</t>
  </si>
  <si>
    <t>Trap the Tiger's Fury</t>
  </si>
  <si>
    <t>Shihai 4</t>
  </si>
  <si>
    <t>The Outside Eye Within</t>
  </si>
  <si>
    <t>Shihai 5</t>
  </si>
  <si>
    <t>Calm the Stalking Tiger</t>
  </si>
  <si>
    <t>Sublunario 1</t>
  </si>
  <si>
    <t>Mexico pg 104</t>
  </si>
  <si>
    <t>Sublunario 2</t>
  </si>
  <si>
    <t>Sublunario 3</t>
  </si>
  <si>
    <t>Sublunario 4</t>
  </si>
  <si>
    <t>Sublunario 5</t>
  </si>
  <si>
    <t>Taurobolium 1</t>
  </si>
  <si>
    <t>Legendary pg 60</t>
  </si>
  <si>
    <t>Taurobolium 2</t>
  </si>
  <si>
    <t>Taurobolium 3</t>
  </si>
  <si>
    <t>Taurobolium 4</t>
  </si>
  <si>
    <t>Taurobolium 5</t>
  </si>
  <si>
    <t>The Show 1</t>
  </si>
  <si>
    <t>Geek Trick</t>
  </si>
  <si>
    <t>Legendary pg 34</t>
  </si>
  <si>
    <t>The Show 2</t>
  </si>
  <si>
    <t>Contortion</t>
  </si>
  <si>
    <t>The Show 3</t>
  </si>
  <si>
    <t>Spider Crawl</t>
  </si>
  <si>
    <t>The Show 4</t>
  </si>
  <si>
    <t>Rubber Skin</t>
  </si>
  <si>
    <t>The Show 5</t>
  </si>
  <si>
    <t>Siamese Twin</t>
  </si>
  <si>
    <t>vs. Dexterity + Stamina (if unwilling)</t>
  </si>
  <si>
    <t>Wayfare 1</t>
  </si>
  <si>
    <t>Wanderer's Boon</t>
  </si>
  <si>
    <t>Wayfare 2</t>
  </si>
  <si>
    <t>Sense of the City</t>
  </si>
  <si>
    <t>vs. Resolve + BP (if hidden)</t>
  </si>
  <si>
    <t>Wayfare 3</t>
  </si>
  <si>
    <t>Byway</t>
  </si>
  <si>
    <t>Wayfare 4</t>
  </si>
  <si>
    <t>Bolthole</t>
  </si>
  <si>
    <t>Wayfare 5</t>
  </si>
  <si>
    <t>One with the Road</t>
  </si>
  <si>
    <t>Spoiling 1</t>
  </si>
  <si>
    <t>Ordo pg 205</t>
  </si>
  <si>
    <t>Spoiling 2</t>
  </si>
  <si>
    <t>Spoiling 3</t>
  </si>
  <si>
    <t>Spoiling 4</t>
  </si>
  <si>
    <t>Spoiling 5</t>
  </si>
  <si>
    <t>1 CP</t>
  </si>
  <si>
    <t>Mortualia</t>
  </si>
  <si>
    <t>Theoreticaly, the amount of vitae a Kindred has fluctuates on a daily basis, as they awaken at sunset, hunt and use disciplines. In a chronicle where a PC is in play for an average of one day out of every fortnight, mainting such a running total is impractical. For this, there needs to be a way of calculating a characters starting Vitae for a game.</t>
  </si>
  <si>
    <t>At the start of a game, each kindred character has a base vitae pool of:</t>
  </si>
  <si>
    <t xml:space="preserve"> </t>
  </si>
  <si>
    <t>Eminent Clan</t>
  </si>
  <si>
    <t>Pack Hunting</t>
  </si>
  <si>
    <t>Downtime Actions</t>
  </si>
  <si>
    <t>Each Supported Ghoul</t>
  </si>
  <si>
    <t>Domain Base Hunting Level</t>
  </si>
  <si>
    <t>This base level represents the availability of potential blood sources within the city. This ranges from 1 to 5 and is set by the presiding Storyteller. This score can change between games depending on character actions, seasonal fluctuations etc.</t>
  </si>
  <si>
    <t xml:space="preserve">        2: A normal person is wary of strangers but there is no media or police campaign.</t>
  </si>
  <si>
    <t xml:space="preserve">        1: People are rarely outside after dark and Hunteres are actively searching for Vampires.</t>
  </si>
  <si>
    <t xml:space="preserve">        3: Average city with some crime and some corruption.</t>
  </si>
  <si>
    <t xml:space="preserve">        4: People feel safe or the authorities don't care about minor problems.</t>
  </si>
  <si>
    <t xml:space="preserve">        5: Large transient population, disinterested police force and lack of suspicion.</t>
  </si>
  <si>
    <t xml:space="preserve">        Base Level </t>
  </si>
  <si>
    <t>Sustained Hunting</t>
  </si>
  <si>
    <t xml:space="preserve">A hunting pool doesn't represent the skills or preparations to carry out a specific hunt, but rather how a kindred habitually hunts to sustain themselves. This is assumed to be carried out continually by characters. </t>
  </si>
  <si>
    <r>
      <rPr>
        <b/>
        <sz val="11"/>
        <color theme="1"/>
        <rFont val="Arial"/>
        <family val="2"/>
      </rPr>
      <t xml:space="preserve">Farmer: </t>
    </r>
    <r>
      <rPr>
        <sz val="11"/>
        <color theme="1"/>
        <rFont val="Arial"/>
        <family val="2"/>
      </rPr>
      <t>There are kindred wthat hunt by organising the people/animals in an area (their farm) to identify the most likely prey. They they use a living accomplice to get the target where they want.</t>
    </r>
  </si>
  <si>
    <r>
      <rPr>
        <b/>
        <sz val="11"/>
        <color theme="1"/>
        <rFont val="Arial"/>
        <family val="2"/>
      </rPr>
      <t xml:space="preserve">Intruder: </t>
    </r>
    <r>
      <rPr>
        <sz val="11"/>
        <color theme="1"/>
        <rFont val="Arial"/>
        <family val="2"/>
      </rPr>
      <t>A vampire sneaks through a quiet building, bypassing the awake and alert, then feeding from a sleeping prey before leaving without alerting anyone.</t>
    </r>
  </si>
  <si>
    <r>
      <t xml:space="preserve">The normal pool is </t>
    </r>
    <r>
      <rPr>
        <b/>
        <sz val="11"/>
        <color theme="1"/>
        <rFont val="Arial"/>
        <family val="2"/>
      </rPr>
      <t>Wits + (Stealth or Larceny) + (Auspex or Celerity)</t>
    </r>
  </si>
  <si>
    <r>
      <t xml:space="preserve">The normal pool is </t>
    </r>
    <r>
      <rPr>
        <b/>
        <sz val="11"/>
        <color theme="1"/>
        <rFont val="Arial"/>
        <family val="2"/>
      </rPr>
      <t>Presence + (Empathy or Socialise) + (Animalism or Domina</t>
    </r>
    <r>
      <rPr>
        <sz val="11"/>
        <color theme="1"/>
        <rFont val="Arial"/>
        <family val="2"/>
      </rPr>
      <t>te)</t>
    </r>
  </si>
  <si>
    <r>
      <rPr>
        <b/>
        <sz val="11"/>
        <color theme="1"/>
        <rFont val="Arial"/>
        <family val="2"/>
      </rPr>
      <t xml:space="preserve">Lurker: </t>
    </r>
    <r>
      <rPr>
        <sz val="11"/>
        <color theme="1"/>
        <rFont val="Arial"/>
        <family val="2"/>
      </rPr>
      <t>The vampire that waits in the dark alley for the perfect blood donor to pass before striking when least expected is a Lurker, the ambush predators of the Requiem.</t>
    </r>
  </si>
  <si>
    <r>
      <t xml:space="preserve">The normal pool is </t>
    </r>
    <r>
      <rPr>
        <b/>
        <sz val="11"/>
        <color theme="1"/>
        <rFont val="Arial"/>
        <family val="2"/>
      </rPr>
      <t>Composure + (Brawl or Streetwise) + (Nightmare or Obfuscate)</t>
    </r>
  </si>
  <si>
    <r>
      <t xml:space="preserve">* Morotrophians may substitute </t>
    </r>
    <r>
      <rPr>
        <b/>
        <sz val="11"/>
        <color theme="1"/>
        <rFont val="Arial"/>
        <family val="2"/>
      </rPr>
      <t>Animalism</t>
    </r>
    <r>
      <rPr>
        <sz val="11"/>
        <color theme="1"/>
        <rFont val="Arial"/>
        <family val="2"/>
      </rPr>
      <t xml:space="preserve"> with </t>
    </r>
    <r>
      <rPr>
        <b/>
        <sz val="11"/>
        <color theme="1"/>
        <rFont val="Arial"/>
        <family val="2"/>
      </rPr>
      <t>Institutionalise</t>
    </r>
    <r>
      <rPr>
        <sz val="11"/>
        <color theme="1"/>
        <rFont val="Arial"/>
        <family val="2"/>
      </rPr>
      <t xml:space="preserve">. </t>
    </r>
  </si>
  <si>
    <r>
      <t xml:space="preserve">* Noctuku may substitute </t>
    </r>
    <r>
      <rPr>
        <b/>
        <sz val="11"/>
        <color theme="1"/>
        <rFont val="Arial"/>
        <family val="2"/>
      </rPr>
      <t>Nightmare</t>
    </r>
    <r>
      <rPr>
        <sz val="11"/>
        <color theme="1"/>
        <rFont val="Arial"/>
        <family val="2"/>
      </rPr>
      <t xml:space="preserve"> with </t>
    </r>
    <r>
      <rPr>
        <b/>
        <sz val="11"/>
        <color theme="1"/>
        <rFont val="Arial"/>
        <family val="2"/>
      </rPr>
      <t>Phagia.</t>
    </r>
  </si>
  <si>
    <r>
      <t xml:space="preserve">Seducer: </t>
    </r>
    <r>
      <rPr>
        <sz val="11"/>
        <color theme="1"/>
        <rFont val="Arial"/>
        <family val="2"/>
      </rPr>
      <t>Being able to pick a target and make them come with you is the way of the seductive kindred. After the target is isolated from their herd, they can be overpowered physically or socially.</t>
    </r>
  </si>
  <si>
    <r>
      <t xml:space="preserve">* Duchagne may substitute </t>
    </r>
    <r>
      <rPr>
        <b/>
        <sz val="11"/>
        <color theme="1"/>
        <rFont val="Arial"/>
        <family val="2"/>
      </rPr>
      <t>Majesty</t>
    </r>
    <r>
      <rPr>
        <sz val="11"/>
        <color theme="1"/>
        <rFont val="Arial"/>
        <family val="2"/>
      </rPr>
      <t xml:space="preserve"> with </t>
    </r>
    <r>
      <rPr>
        <b/>
        <sz val="11"/>
        <color theme="1"/>
        <rFont val="Arial"/>
        <family val="2"/>
      </rPr>
      <t>Licencieux.</t>
    </r>
  </si>
  <si>
    <r>
      <t xml:space="preserve">The normal pool is </t>
    </r>
    <r>
      <rPr>
        <b/>
        <sz val="11"/>
        <color theme="1"/>
        <rFont val="Arial"/>
        <family val="2"/>
      </rPr>
      <t>Stamina + (Athletics or Survival) + (Protean or Resilience)</t>
    </r>
  </si>
  <si>
    <t>* The Resilience discipline does not give a bonus to Stamina in this pool.</t>
  </si>
  <si>
    <t>*** The Striking Looks merit does not give a bonus in this pool.</t>
  </si>
  <si>
    <r>
      <rPr>
        <b/>
        <sz val="11"/>
        <color theme="1"/>
        <rFont val="Arial"/>
        <family val="2"/>
      </rPr>
      <t xml:space="preserve">Stalker: </t>
    </r>
    <r>
      <rPr>
        <sz val="11"/>
        <color theme="1"/>
        <rFont val="Arial"/>
        <family val="2"/>
      </rPr>
      <t>Some vampires hunt their prey though their environment, following them tirelessly until they are too fatigued to put up a fight.</t>
    </r>
  </si>
  <si>
    <t>Downtime Hunting</t>
  </si>
  <si>
    <t>VTR pg 150</t>
  </si>
  <si>
    <t>VTR pg 151</t>
  </si>
  <si>
    <t>VTR pg 152</t>
  </si>
  <si>
    <t>VTR pg 153</t>
  </si>
  <si>
    <t>Contested or Instant</t>
  </si>
  <si>
    <t>Hive Gestalt Nexus</t>
  </si>
  <si>
    <t>Rhino's Hide</t>
  </si>
  <si>
    <t>Regeneration</t>
  </si>
  <si>
    <t>Gimme 50</t>
  </si>
  <si>
    <t>Torpid Awareness (Basic)</t>
  </si>
  <si>
    <t>Torpid Awareness (Advanced)</t>
  </si>
  <si>
    <t>See The Reflected Form</t>
  </si>
  <si>
    <t>Palinode</t>
  </si>
  <si>
    <t>vs. Resolve</t>
  </si>
  <si>
    <t>Nomads pg 99</t>
  </si>
  <si>
    <t>Ritual</t>
  </si>
  <si>
    <t>Description</t>
  </si>
  <si>
    <t>Page</t>
  </si>
  <si>
    <t>Crúac Rituals</t>
  </si>
  <si>
    <t>Rome</t>
  </si>
  <si>
    <t>Balancing the Four Humours</t>
  </si>
  <si>
    <t>Caster is immune to enviromental penalties for one night.</t>
  </si>
  <si>
    <t>Blood Witness</t>
  </si>
  <si>
    <t xml:space="preserve">Spend extra Vitae, smear it about an area, may remotely observe said area. </t>
  </si>
  <si>
    <t>Coteries</t>
  </si>
  <si>
    <t>Confidence in Adversity</t>
  </si>
  <si>
    <t>Caster loses 10 again on rolls but gets 1 Willpower at end of scene.</t>
  </si>
  <si>
    <t>CotC</t>
  </si>
  <si>
    <t>Drops of Destiny</t>
  </si>
  <si>
    <t>Generates a cryptic prophecy.</t>
  </si>
  <si>
    <t>Fires of Inspiration</t>
  </si>
  <si>
    <t>For one night, add Cruac to all Craft or Expression rolls to make art.</t>
  </si>
  <si>
    <t>Pangs of Proserpina</t>
  </si>
  <si>
    <t>Target is overcome with hunger and must feed.</t>
  </si>
  <si>
    <t>VTR</t>
  </si>
  <si>
    <t>Pythian Renewal</t>
  </si>
  <si>
    <t>Target appears 20 years younger for a number of hours.</t>
  </si>
  <si>
    <t>Rigor Mortis</t>
  </si>
  <si>
    <t>Target suffers a penalty equal to successes on next physical action.</t>
  </si>
  <si>
    <t>Taste of Knowledge</t>
  </si>
  <si>
    <t>Used during feeding, learn one secret from victim.</t>
  </si>
  <si>
    <t>Visage of the Crone</t>
  </si>
  <si>
    <t>Target appears 10 years older for a number of hours.</t>
  </si>
  <si>
    <t>Barrier of Blood</t>
  </si>
  <si>
    <t>Resolve + Composure</t>
  </si>
  <si>
    <t>Applied to portals and doors for 24 hours. Kindred with less BP take damage.</t>
  </si>
  <si>
    <t>Cheval</t>
  </si>
  <si>
    <t>Share targets senses at will for one night per success.</t>
  </si>
  <si>
    <t>Harai (Amanot Sukai)</t>
  </si>
  <si>
    <t>Heals a Mortal or reverses morality loss from a Mortal you have fed from.</t>
  </si>
  <si>
    <t>Maiden Skin</t>
  </si>
  <si>
    <t>Grants armour equal to successes against attacks that would break skin.</t>
  </si>
  <si>
    <t>Path of Thorns</t>
  </si>
  <si>
    <t>Creates an area which anyone entering suffer damage, caster is still affected.</t>
  </si>
  <si>
    <t>Soul's Work</t>
  </si>
  <si>
    <t>Invest Willpower into Art which can later be used.</t>
  </si>
  <si>
    <t>Succulent Buboes</t>
  </si>
  <si>
    <t>Transfer Vitae into lymph nodes, storing more Vitae than BP allows.</t>
  </si>
  <si>
    <t>The Heliolater's Warning</t>
  </si>
  <si>
    <t>Adds to Wits roll to wake from Sunlight and to stay up during the day.</t>
  </si>
  <si>
    <t>The Hydra's Vitae</t>
  </si>
  <si>
    <t>Caster Vitae becomes poison which causes lethal damage when consumed.</t>
  </si>
  <si>
    <t>Wisdom of the Soul</t>
  </si>
  <si>
    <t>Create prophetic work of art, may later re-roll any one roll that night.</t>
  </si>
  <si>
    <t>Beloved Deodand</t>
  </si>
  <si>
    <t>Bonds the caster to a murder weapon, whenever its used gain a Vitae.</t>
  </si>
  <si>
    <t>Deflection of Wooden Doom</t>
  </si>
  <si>
    <t>Caster becomes immune to staking for one night.</t>
  </si>
  <si>
    <t>Flower of Demeter</t>
  </si>
  <si>
    <t>Grow a flower from the corpse of a human. Inspires Kindred or 24 hour blush of life</t>
  </si>
  <si>
    <t>Rain</t>
  </si>
  <si>
    <t>Modify Weather in a mile radius, inflicting penalties to rolls.</t>
  </si>
  <si>
    <t>Song of the Blood</t>
  </si>
  <si>
    <t>Strengthen Blood Ties for one night, can sense through any distance.</t>
  </si>
  <si>
    <t>Taste of Destiny</t>
  </si>
  <si>
    <t>Gain insight into a future event, regain 3 willpower spent on rolls that failed.</t>
  </si>
  <si>
    <t>Tiamats Offering</t>
  </si>
  <si>
    <t>Creates a Homunculus Servant.</t>
  </si>
  <si>
    <t>Touch of the Morrigan</t>
  </si>
  <si>
    <t>Touch does Lethal damage equal to successes. Lasts for a number of hours.</t>
  </si>
  <si>
    <t>Bleeding the Tarantula</t>
  </si>
  <si>
    <t>Creates a shadowy spider which protects Caster in Torpor.</t>
  </si>
  <si>
    <t>Blood Price</t>
  </si>
  <si>
    <t>Target has a third of all Vitae stolen from feeding by Caster.</t>
  </si>
  <si>
    <t>Eye of the Norn</t>
  </si>
  <si>
    <t>Reveal who the Caster needs to confront, gain 8 again on rolls to Confront.</t>
  </si>
  <si>
    <t>Fount of Wisdom</t>
  </si>
  <si>
    <t>Gain skills from the victim they had fed from. Fades in several nights.</t>
  </si>
  <si>
    <t>Mask of Blood</t>
  </si>
  <si>
    <t>May steal the physical form of someone they feed from, lasts until sunrise.</t>
  </si>
  <si>
    <t>Sacrifice of Odin</t>
  </si>
  <si>
    <t>Cut off part of your body, gain a bonus to Willpower spent until healed.</t>
  </si>
  <si>
    <t>Willful Vitae</t>
  </si>
  <si>
    <t>Caster becomes immune to Viniculum or Blood Addiction for one night.</t>
  </si>
  <si>
    <t>A Child from the Stones</t>
  </si>
  <si>
    <t>Create a Gargoyle or destroy anothers Gargoyle.</t>
  </si>
  <si>
    <t>As One: Eyes of the Wise</t>
  </si>
  <si>
    <t>Caster learns one thing about a living person they meet in their territory.</t>
  </si>
  <si>
    <t>As One: Make Straight the Royal Highway</t>
  </si>
  <si>
    <t>Caster takes no physical or enviromental penalties when travelling within territory.</t>
  </si>
  <si>
    <t>As One: Immortal Viands</t>
  </si>
  <si>
    <t>Caster can drain territory for blood to wake at night.</t>
  </si>
  <si>
    <t>As One: The Very Stones Defend Me</t>
  </si>
  <si>
    <t>Once per night the territory can attack anyone the Caster wants.</t>
  </si>
  <si>
    <t>As One: Cowans Mark</t>
  </si>
  <si>
    <t>Once per night Caster can curse one person with Nosferatu weakness.</t>
  </si>
  <si>
    <t>As One: The Trees Give Voice</t>
  </si>
  <si>
    <t>Once per night Caster can gain information from his territory.</t>
  </si>
  <si>
    <t>As One: Taste the Blood of the Spirit</t>
  </si>
  <si>
    <t>If any Disciplines or Magic is used Caster knows an can tell what it is if they have it.</t>
  </si>
  <si>
    <t>As One: Sanctuary</t>
  </si>
  <si>
    <t>Once per night can declare an area as Sanctuary. Anyone must contest to enter.</t>
  </si>
  <si>
    <t>Crones Renewal</t>
  </si>
  <si>
    <t>Embrace a Childe at BP 2 and lose a BP yourself.</t>
  </si>
  <si>
    <t>Curse of the Ahasversus</t>
  </si>
  <si>
    <t>Target must test for Predators Taint with every Kindred they meet.</t>
  </si>
  <si>
    <t>Feeding the Crone</t>
  </si>
  <si>
    <t>Mouth inflicts Aggravated damage, successes are bonus to attack, no feeding.</t>
  </si>
  <si>
    <t>Roving Hut</t>
  </si>
  <si>
    <t>Theban Sorcery Rituals</t>
  </si>
  <si>
    <t>Blood Scourge</t>
  </si>
  <si>
    <t>Transmutes some of the caster's Vitae into bloody scourging whips.</t>
  </si>
  <si>
    <t>Celibacy</t>
  </si>
  <si>
    <t>The Kiss when used on targeted Mortal is dampened.</t>
  </si>
  <si>
    <t>LS</t>
  </si>
  <si>
    <t>Bony spurs erupt from the Targets head in a ring causing damage and social penalties.</t>
  </si>
  <si>
    <t>Hauberk of Blood</t>
  </si>
  <si>
    <t>Casters Vitae is imbued with the ability to protect from damage, can be painted on others.</t>
  </si>
  <si>
    <t>Messengers Mark</t>
  </si>
  <si>
    <t>Permanently marks one subject as a Legate.</t>
  </si>
  <si>
    <t>Paladins Absolution</t>
  </si>
  <si>
    <t>Grants a bonus to a humanity roll when resisting a derangement for a specific task.</t>
  </si>
  <si>
    <t>Sinner Song</t>
  </si>
  <si>
    <t>The target reveals to them the most recent sin worthy of a degeneration roll.</t>
  </si>
  <si>
    <t>Theban Inscription</t>
  </si>
  <si>
    <t>Allows the creation of a hidden message or symbol.</t>
  </si>
  <si>
    <t>Vitae Reliquary</t>
  </si>
  <si>
    <t>Store Vitae from Caster in an inaminate object to be recalled later.</t>
  </si>
  <si>
    <t>Bird of Sin</t>
  </si>
  <si>
    <t>A phantasmal bird appears which attacks the Target.</t>
  </si>
  <si>
    <t>Curse of Babel</t>
  </si>
  <si>
    <t>Target cannot communicate intelligibly for an hour per success.</t>
  </si>
  <si>
    <t>Liar's Plague</t>
  </si>
  <si>
    <t>Lasts one scene if Target lies beetles swarm from their mouth.</t>
  </si>
  <si>
    <t>Prison of Denial</t>
  </si>
  <si>
    <t>Target cannot interact verbally or physically with another designated Target for 1 night.</t>
  </si>
  <si>
    <t>Resistance of Discipline</t>
  </si>
  <si>
    <t>Grants the target another attempt at resisting a Discipline.</t>
  </si>
  <si>
    <t>Sanctity</t>
  </si>
  <si>
    <t>Grants a bonus equal to Theban dots on either Acad, Emp, Int, Occ or Per skills in a room.</t>
  </si>
  <si>
    <t>Wings of the Seraph</t>
  </si>
  <si>
    <t>Adds Theban dots * successes to speed during a specific point in the night.</t>
  </si>
  <si>
    <t>Blandishment of Sin</t>
  </si>
  <si>
    <t>Any damage taken in the night by Target is upgraded, bashing to lethal and so on.</t>
  </si>
  <si>
    <t>Lash Beyond Death</t>
  </si>
  <si>
    <t>Caster takes one predetermined action if Torpored or suffering Final Death.</t>
  </si>
  <si>
    <t>Legionnaire's Blessing</t>
  </si>
  <si>
    <t>Imbues a melee or throwing weapon with bonus attack dice equal to Theban dots.</t>
  </si>
  <si>
    <t>Malediction of Despair</t>
  </si>
  <si>
    <t>A predetermined action is stated and if the Target attempts it they are on a chance die.</t>
  </si>
  <si>
    <t>Micah's Hope</t>
  </si>
  <si>
    <t>Imbues the subject who faces judgement with the power to resist.</t>
  </si>
  <si>
    <t>Pharoah's Paces</t>
  </si>
  <si>
    <t>Resolve + Presence</t>
  </si>
  <si>
    <t>No one can look, interact or be within 9 paces of Caster unless they resist.</t>
  </si>
  <si>
    <t>Scrivener's Eye</t>
  </si>
  <si>
    <t>Caster can memorise vast amounts of information and recall it later with perfect clarity.</t>
  </si>
  <si>
    <t>Vision of Will</t>
  </si>
  <si>
    <t>Imbues an object with the ability to grant a powerful message to the next person to touch it.</t>
  </si>
  <si>
    <t>Display of the Beast</t>
  </si>
  <si>
    <t>Target takes on the form of the Beast invoking Frenzy in Kindred, fear in Mortals.</t>
  </si>
  <si>
    <t>Gift of Lazarus</t>
  </si>
  <si>
    <t>Caster can reanimate a corpse as a zombie to be commanded.</t>
  </si>
  <si>
    <t>Mark of the Damned</t>
  </si>
  <si>
    <t>Ward a haven with Vitae inflicting damage on those who enter to cause harm.</t>
  </si>
  <si>
    <t>Sacred Haven</t>
  </si>
  <si>
    <t>Wards a small area for a day so no sunlight can enter.</t>
  </si>
  <si>
    <t>Song of the Prey</t>
  </si>
  <si>
    <t>Caster plants a bush or flower, Mortals are entranced by it allowing feeding without memory.</t>
  </si>
  <si>
    <t>Spear of Faith</t>
  </si>
  <si>
    <t>Number of Targets equal to Theban dots take lethal damage equal to successes.</t>
  </si>
  <si>
    <t>Stigmata</t>
  </si>
  <si>
    <t>Target if Mortal takes lethal damage, Vitae if Kindred equal to successes.</t>
  </si>
  <si>
    <t>Damned's Day</t>
  </si>
  <si>
    <t>Conjures dark clouds during the day reducing damage from Sunlight.</t>
  </si>
  <si>
    <t>Fires of Vengeance</t>
  </si>
  <si>
    <t>vs. Resolve + Stamina</t>
  </si>
  <si>
    <t>Caster declares a Sin, all those who have committed the sin take damage in their presence.</t>
  </si>
  <si>
    <t>An area is decayed and infused with a chosen Vice, those within are compelled to act on it.</t>
  </si>
  <si>
    <t>Night of Hell</t>
  </si>
  <si>
    <t>Sleeping Target is wracked by nightmares causing multiple negative effects.</t>
  </si>
  <si>
    <t>Rain of Blood</t>
  </si>
  <si>
    <t>It rains blood from the sky or ceiling causing damage to those the Caster wishes.</t>
  </si>
  <si>
    <t>Transubstantiation</t>
  </si>
  <si>
    <t>vs. Stamina</t>
  </si>
  <si>
    <t>Transmutes one mundane object into another.</t>
  </si>
  <si>
    <t>Wrathful Judgement</t>
  </si>
  <si>
    <t>Target takes one agg damage per willpower spent, Target must be Ghould or Kindred.</t>
  </si>
  <si>
    <t>Caster adds Crúac dots to Location: Size, Security and Occultation for one scene.</t>
  </si>
  <si>
    <t>Wicked Dead pg 107</t>
  </si>
  <si>
    <t>Imprecation of Sin</t>
  </si>
  <si>
    <t>Minus Location Size</t>
  </si>
  <si>
    <t>Coil of Slumber</t>
  </si>
  <si>
    <t>The Sleep of Early Years</t>
  </si>
  <si>
    <t>Denial of Morpheus</t>
  </si>
  <si>
    <t>Stir the Blood</t>
  </si>
  <si>
    <t>Carthian Movement Pull</t>
  </si>
  <si>
    <t>Carthian Movement pg 184</t>
  </si>
  <si>
    <t>Carthian Movements pg 188</t>
  </si>
  <si>
    <t>1CP</t>
  </si>
  <si>
    <t>Banes</t>
  </si>
  <si>
    <t>Increased resistance to Frenzy from Fire and Sunlight.</t>
  </si>
  <si>
    <t>Blood</t>
  </si>
  <si>
    <t>Spend one willpower to remain awake during the day.</t>
  </si>
  <si>
    <t>Beast</t>
  </si>
  <si>
    <t>Sunlight at Twighlight/Dawn only cause Bashing.</t>
  </si>
  <si>
    <t>Flesh</t>
  </si>
  <si>
    <t>Fire damage downgraded to lethal.</t>
  </si>
  <si>
    <t>OD</t>
  </si>
  <si>
    <t>Soul</t>
  </si>
  <si>
    <t>Slumber</t>
  </si>
  <si>
    <t>Anoushka's Ladder</t>
  </si>
  <si>
    <t>Always able to drink from Animals and Humans.</t>
  </si>
  <si>
    <t>The Locust</t>
  </si>
  <si>
    <t>Immune to all Blood Ties.</t>
  </si>
  <si>
    <t>Spend one willpower to resist non-supernatural Frenzy.</t>
  </si>
  <si>
    <t>Riding the Wave' costs no willpower and only 3 successes.</t>
  </si>
  <si>
    <t>Controlled Frenzy at start of night prevents Frenzy for the rest of night.</t>
  </si>
  <si>
    <t>May 'Ride the Wave' at will for turns equal to Resolve.</t>
  </si>
  <si>
    <t>Blood Potency is counted as 2 lower for Torpor.</t>
  </si>
  <si>
    <t>1 Blood to blush of health and eat for a scene.</t>
  </si>
  <si>
    <t>Allow hair and nails to grow. Appear in reflections at will.</t>
  </si>
  <si>
    <t>Heal Bashing Damage as if they were Mortal.</t>
  </si>
  <si>
    <t>Humanity does not cap social pool with Mortals.</t>
  </si>
  <si>
    <t>Reroll failed rolls for Derangements.</t>
  </si>
  <si>
    <t>Spend 1 Willpower to ignore Derangements for a scene.</t>
  </si>
  <si>
    <t>Commit acts under Frenzy without memory of them, no Degeneration.</t>
  </si>
  <si>
    <t>Humanity counts as 2 higher for Torpor.</t>
  </si>
  <si>
    <t>Horrors</t>
  </si>
  <si>
    <t>All Torpor counts as voluntary.</t>
  </si>
  <si>
    <t>Blood Potency is halved for Torpor duration.</t>
  </si>
  <si>
    <t>Add your characters Resolve to your Feeding Pool before division.</t>
  </si>
  <si>
    <t>Divide your Feeding Pool by 2 rather than the standard 3.</t>
  </si>
  <si>
    <t>Invictus Oaths</t>
  </si>
  <si>
    <t>PreReq1</t>
  </si>
  <si>
    <t>PreReq2</t>
  </si>
  <si>
    <t>PreReq3</t>
  </si>
  <si>
    <t>Sub Cost</t>
  </si>
  <si>
    <t>Lord Cost</t>
  </si>
  <si>
    <t>Pull</t>
  </si>
  <si>
    <t>Defense</t>
  </si>
  <si>
    <t>Blood-Tell Oath</t>
  </si>
  <si>
    <t>N/a</t>
  </si>
  <si>
    <t>1 Vitae</t>
  </si>
  <si>
    <t>1 WP</t>
  </si>
  <si>
    <t>Oath of Blood Alliance</t>
  </si>
  <si>
    <t>1+ WP</t>
  </si>
  <si>
    <t>Both must have power</t>
  </si>
  <si>
    <t>Oath of Blood Focus</t>
  </si>
  <si>
    <t>1 WP Dot</t>
  </si>
  <si>
    <t>Oath of Blood Knives</t>
  </si>
  <si>
    <t>- Resolve</t>
  </si>
  <si>
    <t>Oath of Blood Loyalty</t>
  </si>
  <si>
    <t>1 Vit/1 WP Dot</t>
  </si>
  <si>
    <t>1 Vit/1 WP</t>
  </si>
  <si>
    <t>Oath of Blood Service</t>
  </si>
  <si>
    <t>The Path of Infaq</t>
  </si>
  <si>
    <t>1 Agg/ 1+ Vit</t>
  </si>
  <si>
    <t>Oath of Running Blood</t>
  </si>
  <si>
    <t>Oath of the Awilyah</t>
  </si>
  <si>
    <t>Oath of the Bloody Hand</t>
  </si>
  <si>
    <t>Oath of Burning Blood</t>
  </si>
  <si>
    <t>Sworn Oaths:</t>
  </si>
  <si>
    <t>Direction</t>
  </si>
  <si>
    <t>Other Character</t>
  </si>
  <si>
    <t>Successes</t>
  </si>
  <si>
    <t>To</t>
  </si>
  <si>
    <t>From</t>
  </si>
  <si>
    <t>General</t>
  </si>
  <si>
    <t>Size</t>
  </si>
  <si>
    <t>Speed</t>
  </si>
  <si>
    <t>+</t>
  </si>
  <si>
    <t>=</t>
  </si>
  <si>
    <t>Initiative Mod</t>
  </si>
  <si>
    <t>Defence</t>
  </si>
  <si>
    <t>/</t>
  </si>
  <si>
    <t>Health</t>
  </si>
  <si>
    <t xml:space="preserve">Lost </t>
  </si>
  <si>
    <t>Points at creation</t>
  </si>
  <si>
    <t>Flaw:</t>
  </si>
  <si>
    <t>Aloof</t>
  </si>
  <si>
    <t>Amnesia</t>
  </si>
  <si>
    <t>Behavior Blind</t>
  </si>
  <si>
    <t>Coward</t>
  </si>
  <si>
    <t>Crippled</t>
  </si>
  <si>
    <t>Deformity</t>
  </si>
  <si>
    <t>Dwarf</t>
  </si>
  <si>
    <t>Embarrassing Secret</t>
  </si>
  <si>
    <t>Fealty</t>
  </si>
  <si>
    <t>Forgetful</t>
  </si>
  <si>
    <t>Hard of Hearing</t>
  </si>
  <si>
    <t>Lame</t>
  </si>
  <si>
    <t>Mute</t>
  </si>
  <si>
    <t>Notoriety</t>
  </si>
  <si>
    <t>One Arm</t>
  </si>
  <si>
    <t>One Eye</t>
  </si>
  <si>
    <t>Poor Sight</t>
  </si>
  <si>
    <t>Speech Impediment</t>
  </si>
  <si>
    <t>Animalistic Dependency</t>
  </si>
  <si>
    <t>Anxiety</t>
  </si>
  <si>
    <t>Aphasia</t>
  </si>
  <si>
    <t>Avoidance</t>
  </si>
  <si>
    <t>Banish the Beast</t>
  </si>
  <si>
    <t>Beast Fears</t>
  </si>
  <si>
    <t>Blood Fascination</t>
  </si>
  <si>
    <t>Bulimia</t>
  </si>
  <si>
    <t>Cage Shock</t>
  </si>
  <si>
    <t>Cataplexy</t>
  </si>
  <si>
    <t>Compulsive-Aggressive Disorder</t>
  </si>
  <si>
    <t>Decadence</t>
  </si>
  <si>
    <t>Delusional Mania</t>
  </si>
  <si>
    <t>Delusional Obsession</t>
  </si>
  <si>
    <t>Delusional Witness</t>
  </si>
  <si>
    <t>Denial</t>
  </si>
  <si>
    <t>Dependent-Personality Disorder</t>
  </si>
  <si>
    <t>Depersonalization</t>
  </si>
  <si>
    <t>Depravity</t>
  </si>
  <si>
    <t>Diogenes Syndrome</t>
  </si>
  <si>
    <t>Dissociation</t>
  </si>
  <si>
    <t>Divination Obsession</t>
  </si>
  <si>
    <t>Degenerative Fixation</t>
  </si>
  <si>
    <t>Dehumanization</t>
  </si>
  <si>
    <t>Depression</t>
  </si>
  <si>
    <t>Erythema</t>
  </si>
  <si>
    <t>Fetishism</t>
  </si>
  <si>
    <t>Filthy Brutes</t>
  </si>
  <si>
    <t>Fixation</t>
  </si>
  <si>
    <t>Fugue</t>
  </si>
  <si>
    <t>Glossolalia</t>
  </si>
  <si>
    <t>Gradiose Delusion</t>
  </si>
  <si>
    <t>Hate of Man</t>
  </si>
  <si>
    <t>Haemophilic Compulsion</t>
  </si>
  <si>
    <t>Hunter King</t>
  </si>
  <si>
    <t>Hypnagogic Hallucination</t>
  </si>
  <si>
    <t>Hysteria</t>
  </si>
  <si>
    <t>Identity Erasure</t>
  </si>
  <si>
    <t>I'm No Animal</t>
  </si>
  <si>
    <t>Inferioty Complex</t>
  </si>
  <si>
    <t>Insomnia</t>
  </si>
  <si>
    <t>Intermetamorhphosis</t>
  </si>
  <si>
    <t>Irrational Defiance</t>
  </si>
  <si>
    <t>Irrationality</t>
  </si>
  <si>
    <t>Loss of Compassion</t>
  </si>
  <si>
    <t>Magical Ideation</t>
  </si>
  <si>
    <t>Manic Depression</t>
  </si>
  <si>
    <t>Masochism</t>
  </si>
  <si>
    <t>Melancholia</t>
  </si>
  <si>
    <t>Megalomania</t>
  </si>
  <si>
    <t>Memory Obsession</t>
  </si>
  <si>
    <t>Multiple Personality Disorder</t>
  </si>
  <si>
    <t>Mystic Personality</t>
  </si>
  <si>
    <t>Narcissism</t>
  </si>
  <si>
    <t>Neoprimitivism</t>
  </si>
  <si>
    <t>Obsessive Compulsion</t>
  </si>
  <si>
    <t>Obsessive Humanity</t>
  </si>
  <si>
    <t>Occult Fugue</t>
  </si>
  <si>
    <t>Paranoia</t>
  </si>
  <si>
    <t>Phobia</t>
  </si>
  <si>
    <t>Post-Traumatic Stress Disorder</t>
  </si>
  <si>
    <t>Power Fetish Obsession</t>
  </si>
  <si>
    <t>Preferential Obsession</t>
  </si>
  <si>
    <t>Pyromania</t>
  </si>
  <si>
    <t>Pyrophillia</t>
  </si>
  <si>
    <t>Repression</t>
  </si>
  <si>
    <t>Sanguinary Animism</t>
  </si>
  <si>
    <t>Schizophrenia</t>
  </si>
  <si>
    <t>Spirit Placation</t>
  </si>
  <si>
    <t>Submission</t>
  </si>
  <si>
    <t>Supernatural Fascination</t>
  </si>
  <si>
    <t>Suspicion</t>
  </si>
  <si>
    <t>Synesthesia</t>
  </si>
  <si>
    <t>Tongue of the Beast</t>
  </si>
  <si>
    <t>Unbridled Confidence</t>
  </si>
  <si>
    <t>Vocalization</t>
  </si>
  <si>
    <t>Walking Nightmare</t>
  </si>
  <si>
    <t>Withdrawl</t>
  </si>
  <si>
    <t>Zealotry</t>
  </si>
  <si>
    <t>Equipment:</t>
  </si>
  <si>
    <t>Bonus</t>
  </si>
  <si>
    <t>Approvals:</t>
  </si>
  <si>
    <t>Notes:</t>
  </si>
  <si>
    <t>A number of things can modify this after the base vitae pool has been calculated:</t>
  </si>
  <si>
    <t>Humanity 8</t>
  </si>
  <si>
    <t>Humanity 9</t>
  </si>
  <si>
    <t>Humanity 10</t>
  </si>
  <si>
    <t>Breath Drinking</t>
  </si>
  <si>
    <t>Breath Drinking 1</t>
  </si>
  <si>
    <t>Breath Drinking 2</t>
  </si>
  <si>
    <t>Breath Drinking 3</t>
  </si>
  <si>
    <t>Breath Drinking 4</t>
  </si>
  <si>
    <t>Breath Drinking 5</t>
  </si>
  <si>
    <t>The Spirit's Touch</t>
  </si>
  <si>
    <t>Summoning</t>
  </si>
  <si>
    <t>Claws of the Wild</t>
  </si>
  <si>
    <t>Starting Vitae</t>
  </si>
  <si>
    <t>Farmer</t>
  </si>
  <si>
    <t>Intruder</t>
  </si>
  <si>
    <t>Lurker</t>
  </si>
  <si>
    <t>Seducer</t>
  </si>
  <si>
    <t>Stalker</t>
  </si>
  <si>
    <r>
      <t xml:space="preserve">** Anvari may substitute </t>
    </r>
    <r>
      <rPr>
        <b/>
        <sz val="11"/>
        <color theme="1"/>
        <rFont val="Arial"/>
        <family val="2"/>
      </rPr>
      <t>Majesty</t>
    </r>
    <r>
      <rPr>
        <sz val="11"/>
        <color theme="1"/>
        <rFont val="Arial"/>
        <family val="2"/>
      </rPr>
      <t xml:space="preserve"> with </t>
    </r>
    <r>
      <rPr>
        <b/>
        <sz val="11"/>
        <color theme="1"/>
        <rFont val="Arial"/>
        <family val="2"/>
      </rPr>
      <t xml:space="preserve">Nepenthe, </t>
    </r>
    <r>
      <rPr>
        <sz val="11"/>
        <color theme="1"/>
        <rFont val="Arial"/>
        <family val="2"/>
      </rPr>
      <t>reducing the difficult feeding penalty by 1.</t>
    </r>
  </si>
  <si>
    <r>
      <t xml:space="preserve">The normal pool is </t>
    </r>
    <r>
      <rPr>
        <b/>
        <sz val="11"/>
        <color theme="1"/>
        <rFont val="Arial"/>
        <family val="2"/>
      </rPr>
      <t>Manipulation + (Intimidate or Persuasion) + (Majesty or Vigor)</t>
    </r>
  </si>
  <si>
    <t>Difficult Feeding</t>
  </si>
  <si>
    <t xml:space="preserve">   +1 to +5</t>
  </si>
  <si>
    <t xml:space="preserve">Some Kindred want or need to devote more time to hunting. Each downtime action represents dedicating a portion of normally free time to additional hunting during the time represented. </t>
  </si>
  <si>
    <t xml:space="preserve">   - Blood Potency</t>
  </si>
  <si>
    <t xml:space="preserve">   - 1 if Norvegi or -2</t>
  </si>
  <si>
    <t>A number of things can modify the sustained hunting pool before division:</t>
  </si>
  <si>
    <t>A number of things can modify this feeding pool:</t>
  </si>
  <si>
    <t>Each previous DT spent hunting this chapter</t>
  </si>
  <si>
    <t>- 1</t>
  </si>
  <si>
    <t xml:space="preserve">   - 5 to + 5</t>
  </si>
  <si>
    <t>Level of care ( added to attempts to investigate you hunting, see feeding document for more details)</t>
  </si>
  <si>
    <t>Social Merits</t>
  </si>
  <si>
    <t xml:space="preserve">A Kindred can gain advantage in hunting from their social contact. A relevant Allies, Mentor or Retainer merit can be used to assist in hunting. </t>
  </si>
  <si>
    <t xml:space="preserve">This counts as a 3 dot favour and uses their downtime action for the chapter. Only one of these social merits may be used per chapter. </t>
  </si>
  <si>
    <t>This grants 1 extra vitae at all games for this chapter.</t>
  </si>
  <si>
    <t>Creation and Experience Log</t>
  </si>
  <si>
    <t>Character Name:</t>
  </si>
  <si>
    <t>Direct Storyteller:</t>
  </si>
  <si>
    <t>Total:</t>
  </si>
  <si>
    <t>Earned:</t>
  </si>
  <si>
    <t>Remaining:</t>
  </si>
  <si>
    <t>Date</t>
  </si>
  <si>
    <t>Earned</t>
  </si>
  <si>
    <t>Spent</t>
  </si>
  <si>
    <t>Remaining</t>
  </si>
  <si>
    <t>Category</t>
  </si>
  <si>
    <t>Creation</t>
  </si>
  <si>
    <t>Attr: 5 dots for Primary</t>
  </si>
  <si>
    <t>Attr: 4 dots for Secondary</t>
  </si>
  <si>
    <t>Attr: 3 dots for Tertiary</t>
  </si>
  <si>
    <t>Bonus Favored Attribute</t>
  </si>
  <si>
    <t>Skill: 11 dots for Primary</t>
  </si>
  <si>
    <t>Skill: 7 dots for Secondary</t>
  </si>
  <si>
    <t>Skill: 4 dots for Tertiary</t>
  </si>
  <si>
    <t>Specializations: 3</t>
  </si>
  <si>
    <t>Merits: 7 free dots</t>
  </si>
  <si>
    <t>attribute</t>
  </si>
  <si>
    <t>skills</t>
  </si>
  <si>
    <t>specialization</t>
  </si>
  <si>
    <t>blood potency</t>
  </si>
  <si>
    <t>merits</t>
  </si>
  <si>
    <t>lost merits</t>
  </si>
  <si>
    <t>disciplines</t>
  </si>
  <si>
    <t>rituals</t>
  </si>
  <si>
    <t>devotions</t>
  </si>
  <si>
    <t>willpower</t>
  </si>
  <si>
    <t>humanity</t>
  </si>
  <si>
    <t>oaths</t>
  </si>
  <si>
    <t>Background</t>
  </si>
  <si>
    <t>Bio</t>
  </si>
  <si>
    <t>Beginning XP</t>
  </si>
  <si>
    <t>150xp for Primary and 100xp for Secondary</t>
  </si>
  <si>
    <t>2xp for Background</t>
  </si>
  <si>
    <t>1xp for publicly submitted Biography</t>
  </si>
  <si>
    <t>Disciplines: 3 free dots</t>
  </si>
  <si>
    <t>One of these may be used for a Cov Discipline</t>
  </si>
  <si>
    <t>Catch Up XP</t>
  </si>
  <si>
    <t>CATCH UP XP</t>
  </si>
  <si>
    <t>Chronicle Start Date</t>
  </si>
  <si>
    <t>XP awarded</t>
  </si>
  <si>
    <t>Isles of Darkness Requiem Character Sheet</t>
  </si>
  <si>
    <t>There has been a copy and paste tab which provides a copy of the sheet that you can enter into the approvals database.</t>
  </si>
  <si>
    <r>
      <t xml:space="preserve">Please use the print priview function to see what your sheet looks like (as the dimensions below the </t>
    </r>
    <r>
      <rPr>
        <b/>
        <sz val="11"/>
        <color indexed="8"/>
        <rFont val="Arial"/>
        <family val="2"/>
      </rPr>
      <t>'Do not edit'</t>
    </r>
    <r>
      <rPr>
        <sz val="11"/>
        <color indexed="8"/>
        <rFont val="Arial"/>
        <family val="2"/>
      </rPr>
      <t xml:space="preserve"> point are not the same as those on the print out)</t>
    </r>
  </si>
  <si>
    <r>
      <t>A yellow field denotes a cell you can enter date into.</t>
    </r>
    <r>
      <rPr>
        <sz val="11"/>
        <color indexed="8"/>
        <rFont val="Arial"/>
        <family val="2"/>
      </rPr>
      <t xml:space="preserve">  Do not edit anything that is not coloured in green or yellow unless the sheet specifically states otherwise (for example entering the City name for City Status) </t>
    </r>
  </si>
  <si>
    <t>If something shows up in pink on the sheet you have either entered in something incorrectly or do not have the pre-requisite for it.</t>
  </si>
  <si>
    <t>If an item or power is an approval it will show up on the right. Remember to enter your approval codes in the slot provided at the bottom of the sheet.</t>
  </si>
  <si>
    <t xml:space="preserve">The NEXT DOT field shows you two things. </t>
  </si>
  <si>
    <t xml:space="preserve">The number on the left is how much XP the next dot alone costs. </t>
  </si>
  <si>
    <t>The number on the right is how much total XP you would have to spend to get that dot plus your prior spending. This will make it easier to add XP.</t>
  </si>
  <si>
    <t>In the later appendices you will find most powers for the Vampire: The Requiem game and a reference to which books you can find them in.</t>
  </si>
  <si>
    <t>This character sheet was written using Excel 1997-2003.  Earlier versions of Excel may not function correctly.</t>
  </si>
  <si>
    <t xml:space="preserve">The World of Darkness and other terms used in this sheet are trademarks of White Wolf Game studios. </t>
  </si>
  <si>
    <t>Any use of White Wolf Game Studios' copyrighted material or trademarks by this product should not be viewed as a challenge to those.</t>
  </si>
  <si>
    <t>This sheet was created by Nick Lambourn and was inspired by the sheets created by Jennifer Pitts and Mairi White.</t>
  </si>
  <si>
    <t>I would also like to give thanks to those people who have helped test the sheet or helped keep my enthusiasm with kind words while I created and update it.</t>
  </si>
  <si>
    <r>
      <t xml:space="preserve">If you have any problems with the sheet or discover anything that may be incorrect please email Nick Lambourn at </t>
    </r>
    <r>
      <rPr>
        <b/>
        <sz val="11"/>
        <color indexed="8"/>
        <rFont val="Arial"/>
        <family val="2"/>
      </rPr>
      <t xml:space="preserve">nikoliborsh@gmail.com </t>
    </r>
    <r>
      <rPr>
        <sz val="11"/>
        <color indexed="8"/>
        <rFont val="Arial"/>
        <family val="2"/>
      </rPr>
      <t xml:space="preserve">I also welcome suggestions on how to improve its functionality. </t>
    </r>
  </si>
  <si>
    <t>This Character Sheet is intended for use by Isles of Darkness members for the Chronicle dated March 2015, in creating a character for the Vampire: The Requiem venue.</t>
  </si>
  <si>
    <t>A feeding pool uses the same draws as the five sustained hunting pools with the following modifiers applied.</t>
  </si>
  <si>
    <t>Members of a coterie are familiar with each other's needs, preferences and abilities. A coterie with at least 3 members who agree to hunt together (and downtime with their ST) get to add 1 to their starting vitae.</t>
  </si>
  <si>
    <t xml:space="preserve"> Step One:</t>
  </si>
  <si>
    <t xml:space="preserve"> Step Two:</t>
  </si>
  <si>
    <t xml:space="preserve"> Step Three:</t>
  </si>
  <si>
    <t xml:space="preserve"> Step Four:</t>
  </si>
  <si>
    <t xml:space="preserve"> Step Five:</t>
  </si>
  <si>
    <t>Domain Base Hunting Level + Sustained Hunting + Downtime Hunting + Social Merits + Pack Hunting + Herd</t>
  </si>
  <si>
    <t xml:space="preserve">** Divide this number by 2 if the character possesses the Coil of Blood 3. </t>
  </si>
  <si>
    <t>* Add your Resolve to any of these pools if the character possesses the Coil of Blood 1.</t>
  </si>
  <si>
    <t>Note these rules apply only to Kindred who can feed from Animals and Humans. Please use the Feeding Document in conjuction with this guide.</t>
  </si>
  <si>
    <t xml:space="preserve">Sustained Hunting </t>
  </si>
  <si>
    <t>Kindred Feeding Guide</t>
  </si>
  <si>
    <t>Select your Sustained Hunting Pool</t>
  </si>
  <si>
    <t>Does your character possess Coil of Blood 1?</t>
  </si>
  <si>
    <t>Does your character possess Coil of Blood 3?</t>
  </si>
  <si>
    <t>Total Modifiers</t>
  </si>
  <si>
    <t>Combined Modifiers</t>
  </si>
  <si>
    <t>Total Sustained Hunting figure (following division)</t>
  </si>
  <si>
    <t>Successes from Downtime Hunting draws</t>
  </si>
  <si>
    <t xml:space="preserve">    -3</t>
  </si>
  <si>
    <t xml:space="preserve">    -2</t>
  </si>
  <si>
    <t xml:space="preserve">    -1</t>
  </si>
  <si>
    <t>Has a Social Merit been used?</t>
  </si>
  <si>
    <t>Has the character hunted with their Pack during DT?</t>
  </si>
  <si>
    <t xml:space="preserve">   +2</t>
  </si>
  <si>
    <t xml:space="preserve">   +1</t>
  </si>
  <si>
    <t xml:space="preserve">   + 0 or more</t>
  </si>
  <si>
    <t xml:space="preserve">   - 1 or more</t>
  </si>
  <si>
    <t>Total Starting Vitae</t>
  </si>
  <si>
    <t>To determine a characters Sustained Hunting Level, calculate an appropriate dice pool from the five listed below, apply any modifiers, divide that number by 3 and round down.</t>
  </si>
  <si>
    <t>catch up xp</t>
  </si>
  <si>
    <t>Copy the line above completely and insert it above this line</t>
  </si>
  <si>
    <t>Character Sheet</t>
  </si>
  <si>
    <t>--------------------------------------------------------</t>
  </si>
  <si>
    <t>Mental Attributes</t>
  </si>
  <si>
    <t>-------------------------</t>
  </si>
  <si>
    <t>Physical Attributes</t>
  </si>
  <si>
    <t>Social Attributes</t>
  </si>
  <si>
    <t>Mental Skills</t>
  </si>
  <si>
    <t>Physical Skills</t>
  </si>
  <si>
    <t>Social Skills</t>
  </si>
  <si>
    <t>Protean Extras (If any)</t>
  </si>
  <si>
    <t>Protean Animal Forms</t>
  </si>
  <si>
    <t xml:space="preserve">  ~ End Merits ~</t>
  </si>
  <si>
    <t xml:space="preserve">   ~ End Rituals ~</t>
  </si>
  <si>
    <t xml:space="preserve">   ~ End Coils ~</t>
  </si>
  <si>
    <t xml:space="preserve">   ~ End Devotions ~</t>
  </si>
  <si>
    <t>Oaths Sworn</t>
  </si>
  <si>
    <t xml:space="preserve">  ~ End Oaths ~</t>
  </si>
  <si>
    <t>Notes</t>
  </si>
  <si>
    <t xml:space="preserve">  ~ End Notes ~</t>
  </si>
  <si>
    <t>Approvals</t>
  </si>
  <si>
    <t xml:space="preserve">  ~ End Approvals ~</t>
  </si>
  <si>
    <t>Armour</t>
  </si>
  <si>
    <t>Animal</t>
  </si>
  <si>
    <t>Free</t>
  </si>
  <si>
    <t xml:space="preserve">    Physical Attributes</t>
  </si>
  <si>
    <t xml:space="preserve">      Social Attributes</t>
  </si>
  <si>
    <t xml:space="preserve"> Intelligence</t>
  </si>
  <si>
    <t xml:space="preserve">  Strength</t>
  </si>
  <si>
    <t xml:space="preserve">  Presence</t>
  </si>
  <si>
    <t xml:space="preserve"> Wits</t>
  </si>
  <si>
    <t xml:space="preserve">  Dexterity</t>
  </si>
  <si>
    <t xml:space="preserve">  Manipulation</t>
  </si>
  <si>
    <t xml:space="preserve"> Resolve</t>
  </si>
  <si>
    <t xml:space="preserve">  Composure</t>
  </si>
  <si>
    <t xml:space="preserve">   Disciplines</t>
  </si>
  <si>
    <t xml:space="preserve">   Mental Skills</t>
  </si>
  <si>
    <t>(-3 unskilled)</t>
  </si>
  <si>
    <t xml:space="preserve">   Physical Skills</t>
  </si>
  <si>
    <t xml:space="preserve"> (-1 unskilled)</t>
  </si>
  <si>
    <t xml:space="preserve">   Social Skills</t>
  </si>
  <si>
    <t>(-1 unskilled)</t>
  </si>
  <si>
    <t xml:space="preserve">   Humanity</t>
  </si>
  <si>
    <t xml:space="preserve">   Health</t>
  </si>
  <si>
    <t xml:space="preserve">   Willpower</t>
  </si>
  <si>
    <t>Combat Numbers</t>
  </si>
  <si>
    <t>Resist Frenzy:</t>
  </si>
  <si>
    <t>Composure + BP:</t>
  </si>
  <si>
    <t>Remain hidden with Obf:</t>
  </si>
  <si>
    <t>Pierce Obf. With Auspex:</t>
  </si>
  <si>
    <t xml:space="preserve">   Coils of the Dragon</t>
  </si>
  <si>
    <t xml:space="preserve">   Notes</t>
  </si>
  <si>
    <t>Cruac: 1 Vitae</t>
  </si>
  <si>
    <t xml:space="preserve">  Devotions</t>
  </si>
  <si>
    <t>Name   (Level)</t>
  </si>
  <si>
    <t>Cost:</t>
  </si>
  <si>
    <t>Pull:</t>
  </si>
  <si>
    <t>Defense:</t>
  </si>
  <si>
    <t xml:space="preserve">   Equipment</t>
  </si>
  <si>
    <t xml:space="preserve">   Oaths Sworn</t>
  </si>
  <si>
    <t>Sworn To/From</t>
  </si>
  <si>
    <t xml:space="preserve">   Invictus Oaths</t>
  </si>
  <si>
    <t>Vassal Cost:</t>
  </si>
  <si>
    <t xml:space="preserve">Lord Cost: </t>
  </si>
  <si>
    <t xml:space="preserve">   Merits (continued)</t>
  </si>
  <si>
    <t xml:space="preserve">   Approvals</t>
  </si>
  <si>
    <t>Pri/Sec:</t>
  </si>
  <si>
    <t xml:space="preserve">    Vitae Pool</t>
  </si>
  <si>
    <t>Base Health:</t>
  </si>
  <si>
    <t>Base Speed:</t>
  </si>
  <si>
    <t>Running Celerity:</t>
  </si>
  <si>
    <t>Running Vigor + Celerity:</t>
  </si>
  <si>
    <t>Initiative Mod:</t>
  </si>
  <si>
    <t>Base Brawl:</t>
  </si>
  <si>
    <t>Base Firearms:</t>
  </si>
  <si>
    <t xml:space="preserve">   Starting Vitae &amp; Feeding Pools</t>
  </si>
  <si>
    <t xml:space="preserve">  Farmer Feeding Pool:</t>
  </si>
  <si>
    <t xml:space="preserve">  Intruder Feeding Pool:</t>
  </si>
  <si>
    <t xml:space="preserve">  Lurker Feeding Pool:</t>
  </si>
  <si>
    <t xml:space="preserve">  Seducer Feeding Pool:</t>
  </si>
  <si>
    <t xml:space="preserve">  Stalker Feeding Pool:</t>
  </si>
  <si>
    <t xml:space="preserve">  Starting Vitae:</t>
  </si>
  <si>
    <t>Theban:1 WP</t>
  </si>
  <si>
    <t>Attribute 1</t>
  </si>
  <si>
    <t>Attribute 2</t>
  </si>
  <si>
    <t>Version 3.3</t>
  </si>
  <si>
    <t>Oath Unsworn</t>
  </si>
  <si>
    <t>BP2+</t>
  </si>
  <si>
    <t>Baddacelli</t>
  </si>
  <si>
    <t>Mimetismo</t>
  </si>
  <si>
    <t>Carnival</t>
  </si>
  <si>
    <t>The Show</t>
  </si>
  <si>
    <t>The Mara</t>
  </si>
  <si>
    <t>Mnemosyne</t>
  </si>
  <si>
    <t>Meminisse</t>
  </si>
  <si>
    <t>Genre Notification</t>
  </si>
  <si>
    <t>Carthian Lawyer</t>
  </si>
  <si>
    <t>Carthian Pull</t>
  </si>
  <si>
    <t>Coder Clique</t>
  </si>
  <si>
    <t>Current Events Circle</t>
  </si>
  <si>
    <t>Debate Club</t>
  </si>
  <si>
    <t>Distant Sympathy</t>
  </si>
  <si>
    <t>Encounter Group</t>
  </si>
  <si>
    <t>Haunted Channel</t>
  </si>
  <si>
    <t>Haunted Hand</t>
  </si>
  <si>
    <t>Lab Section</t>
  </si>
  <si>
    <t>Location (Altar)</t>
  </si>
  <si>
    <t>Location (Dark Temple)</t>
  </si>
  <si>
    <t>Location (Geomantic Nexus)</t>
  </si>
  <si>
    <t>Location (Tomb)</t>
  </si>
  <si>
    <t>Mind of the Inscutable Hydra</t>
  </si>
  <si>
    <t>Pack Blooded</t>
  </si>
  <si>
    <t>Remnant of Clarity</t>
  </si>
  <si>
    <t>Savage Kenning</t>
  </si>
  <si>
    <t>Study Group</t>
  </si>
  <si>
    <t>Swarm Mind</t>
  </si>
  <si>
    <t>Tenacious Consciousness</t>
  </si>
  <si>
    <t>The Right Bar</t>
  </si>
  <si>
    <t>Theatre Society</t>
  </si>
  <si>
    <t>True Worm</t>
  </si>
  <si>
    <t>Vice over Virtue</t>
  </si>
  <si>
    <t>Virtue's Twin</t>
  </si>
  <si>
    <t>Vitae Connoisseur</t>
  </si>
  <si>
    <t>Ghost Eater</t>
  </si>
  <si>
    <t>Tap of the Torpid Mind</t>
  </si>
  <si>
    <t>Shadow Cult (Moirai)</t>
  </si>
  <si>
    <t>Cacophony Listener (3)</t>
  </si>
  <si>
    <t>Cacophony Listener (5)</t>
  </si>
  <si>
    <t>Ghoul</t>
  </si>
  <si>
    <t>Sexualised</t>
  </si>
  <si>
    <t>Source Sympahty</t>
  </si>
  <si>
    <t>Carthian pg 195</t>
  </si>
  <si>
    <t>Carthian pg 199</t>
  </si>
  <si>
    <t>Abdo Cordis</t>
  </si>
  <si>
    <t>Carthian  pg 196</t>
  </si>
  <si>
    <t>Carthian  pg 200</t>
  </si>
  <si>
    <t>Carthian  pg 195</t>
  </si>
  <si>
    <t>Carthian  pg 192</t>
  </si>
  <si>
    <t>Carthian  pg 193</t>
  </si>
  <si>
    <t>Carthian  pg 197</t>
  </si>
  <si>
    <t>Carthian  pg 198</t>
  </si>
  <si>
    <t>Carthian  pg 194</t>
  </si>
  <si>
    <t>Carthian  pg 191</t>
  </si>
  <si>
    <t>Carthian  pg 201</t>
  </si>
  <si>
    <t>Carthian  pg 199</t>
  </si>
  <si>
    <t>Burrow</t>
  </si>
  <si>
    <t>Draught of Revelation</t>
  </si>
  <si>
    <t>Ordo pg 207</t>
  </si>
  <si>
    <t>Eyes of Blood</t>
  </si>
  <si>
    <t>Masked Blood</t>
  </si>
  <si>
    <t>Rallying Blood</t>
  </si>
  <si>
    <t>Sanguine Strenght (1)</t>
  </si>
  <si>
    <t>Sanguine Strenght (2)</t>
  </si>
  <si>
    <t>Sanguine Strenght (3)</t>
  </si>
  <si>
    <t>Song of Serenity</t>
  </si>
  <si>
    <t>Chosen pg 35</t>
  </si>
  <si>
    <t>Child of Night</t>
  </si>
  <si>
    <t>Brood pg 142</t>
  </si>
  <si>
    <t>Cutting of the Strings</t>
  </si>
  <si>
    <t>Mekhet pg 109</t>
  </si>
  <si>
    <t>Discerning Palate</t>
  </si>
  <si>
    <t>Disquieting Mien</t>
  </si>
  <si>
    <t>Brood pg 143</t>
  </si>
  <si>
    <t>Encode Vitae</t>
  </si>
  <si>
    <t>Manteia</t>
  </si>
  <si>
    <t>Mekhet pg 110</t>
  </si>
  <si>
    <t>Mesmeric Taint</t>
  </si>
  <si>
    <t>Song of Bonded Blood</t>
  </si>
  <si>
    <t>The Methusaleh Effect</t>
  </si>
  <si>
    <t>The Restoration of Things Lost</t>
  </si>
  <si>
    <t>The Ritual of Nourishment</t>
  </si>
  <si>
    <t>Timed Message</t>
  </si>
  <si>
    <t>Mekhet pg 111</t>
  </si>
  <si>
    <t>1W+</t>
  </si>
  <si>
    <t>The Loathsome Foe</t>
  </si>
  <si>
    <t>Requiem Addendum</t>
  </si>
  <si>
    <t>Sample the Earth</t>
  </si>
  <si>
    <t>Blood Blight</t>
  </si>
  <si>
    <t>The victim takes the activation successes in lethal damage (if mortal) or in lost vitae (if vampire).</t>
  </si>
  <si>
    <t>Final Service of the Slave</t>
  </si>
  <si>
    <t>Sacrifice a Retainer, losing the merit; gain a temporary increase to an attribute or skill they possessed.</t>
  </si>
  <si>
    <t>Tickblood</t>
  </si>
  <si>
    <t>Cause a mortal to generate an increased quantity of Vitae over the next few days.</t>
  </si>
  <si>
    <t>Blood Fire</t>
  </si>
  <si>
    <t>For a scene or until depleted, anyone who attacks the caster suffers auto lethal damage.</t>
  </si>
  <si>
    <t>Call of Amoniel</t>
  </si>
  <si>
    <t xml:space="preserve">For one day, the caster gains the ability to awaken from daysleep if disturbed. </t>
  </si>
  <si>
    <t>Forbiddance of Blood</t>
  </si>
  <si>
    <t>Locks the disciplines of a Ghoul under Viniculum to the caster for one month.</t>
  </si>
  <si>
    <t>Ghouls</t>
  </si>
  <si>
    <t>The Angels Touch</t>
  </si>
  <si>
    <t>Renders a mortal immune to a vampires ability to seal bite wounds for a night.</t>
  </si>
  <si>
    <t>Damned Radiance</t>
  </si>
  <si>
    <t>For one scene, the caster adds dots in Theban to Presence rolls but suffer penalties to anything subtle.</t>
  </si>
  <si>
    <t>Chosen</t>
  </si>
  <si>
    <t>Ordo pg 208</t>
  </si>
  <si>
    <t>Liquid Memory</t>
  </si>
  <si>
    <t>1V+ /1W+</t>
  </si>
  <si>
    <t>Swear an oath, inflicting damage upon oneself if broken, that may be released by the one sworn to.</t>
  </si>
  <si>
    <t>This Oath causes damage to the one who swore it should they attempt to break the Oath.</t>
  </si>
  <si>
    <t>This is the simplest form of supernatural Blood Oath. The swearing Kindred writes something in their own blood. The text remains fresh as long as the Oath remains true and can be consumed for vitae.</t>
  </si>
  <si>
    <t>The swearer of the Oath bleeds a Vitae into a clear vessel. The Blood remains fresh and viscous as long as the Oath is upheld.</t>
  </si>
  <si>
    <t xml:space="preserve">The swearer of the Oath wills blood into their hand, cutting it off so that it provides them with benefits for their Oathsworn task. </t>
  </si>
  <si>
    <t>The swearer of the Oath dedicates themselves to a given task or goal. This Oath provides them with benefits while working towards this end but drastic consequences should they not.</t>
  </si>
  <si>
    <t xml:space="preserve">This is one of the most common Oaths amongst the Invictus. One party to the Oath swears to perform a service, and the other party promises a reward. </t>
  </si>
  <si>
    <t>The servant swears to perform a particular service every night for a set period, and in return receives a benefit from their master.</t>
  </si>
  <si>
    <t>A strong mutual oath that places one Kindred in the position of subordinate to another. This however guarantees mutual loyalty and is considered more honourable than a blood bond.</t>
  </si>
  <si>
    <t>Similar to Oath of Blood Knives but with the major difference that it can be used against an unwilling party.</t>
  </si>
  <si>
    <t xml:space="preserve">A promise by one party to return by a certain night and a promise by the other that they will be made welcome upon their return. </t>
  </si>
  <si>
    <t>The Oath of Infaq</t>
  </si>
  <si>
    <t xml:space="preserve">A voluntary Oath sworn by one party to only speak well of the other. Blood is preserved in a clear vessel and should they speak ill it will turn black. </t>
  </si>
  <si>
    <r>
      <t xml:space="preserve">This sheet is compatible with the Universal Addendum, Requiem Addenda and Feeding Document since </t>
    </r>
    <r>
      <rPr>
        <b/>
        <sz val="11"/>
        <color indexed="8"/>
        <rFont val="Arial"/>
        <family val="2"/>
      </rPr>
      <t>1st March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</si>
</sst>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scheme val="minor"/>
    </font>
    <font>
      <sz val="12"/>
      <color theme="1"/>
      <name val="Arial"/>
      <family val="2"/>
    </font>
    <font>
      <b/>
      <u/>
      <sz val="16"/>
      <color theme="1"/>
      <name val="Papyrus"/>
      <family val="4"/>
    </font>
    <font>
      <sz val="10"/>
      <color theme="1"/>
      <name val="Arial"/>
      <family val="2"/>
    </font>
    <font>
      <b/>
      <sz val="12"/>
      <color theme="1"/>
      <name val="Arial"/>
      <family val="2"/>
    </font>
    <font>
      <sz val="11"/>
      <color rgb="FF006100"/>
      <name val="Calibri"/>
      <family val="2"/>
      <scheme val="minor"/>
    </font>
    <font>
      <sz val="11"/>
      <color rgb="FF9C6500"/>
      <name val="Calibri"/>
      <family val="2"/>
      <scheme val="minor"/>
    </font>
    <font>
      <sz val="11"/>
      <color theme="1"/>
      <name val="Arial"/>
      <family val="2"/>
    </font>
    <font>
      <sz val="12"/>
      <name val="Arial"/>
      <family val="2"/>
    </font>
    <font>
      <b/>
      <u/>
      <sz val="12"/>
      <color theme="1"/>
      <name val="Arial"/>
      <family val="2"/>
    </font>
    <font>
      <b/>
      <i/>
      <sz val="12"/>
      <name val="Arial"/>
      <family val="2"/>
    </font>
    <font>
      <b/>
      <i/>
      <sz val="12"/>
      <color theme="1"/>
      <name val="Arial"/>
      <family val="2"/>
    </font>
    <font>
      <b/>
      <u/>
      <sz val="10"/>
      <color theme="1"/>
      <name val="Arial"/>
      <family val="2"/>
    </font>
    <font>
      <b/>
      <u/>
      <sz val="10"/>
      <name val="Arial"/>
      <family val="2"/>
    </font>
    <font>
      <sz val="10"/>
      <name val="Arial"/>
      <family val="2"/>
    </font>
    <font>
      <sz val="10"/>
      <name val="Wingdings 2"/>
      <family val="1"/>
      <charset val="2"/>
    </font>
    <font>
      <sz val="10"/>
      <name val="Wingdings"/>
      <charset val="2"/>
    </font>
    <font>
      <sz val="10"/>
      <color theme="1"/>
      <name val="Wingdings"/>
      <charset val="2"/>
    </font>
    <font>
      <b/>
      <u/>
      <sz val="11"/>
      <color theme="1"/>
      <name val="Arial"/>
      <family val="2"/>
    </font>
    <font>
      <sz val="9"/>
      <color theme="1"/>
      <name val="Arial"/>
      <family val="2"/>
    </font>
    <font>
      <i/>
      <sz val="12"/>
      <name val="Arial"/>
      <family val="2"/>
    </font>
    <font>
      <b/>
      <sz val="12"/>
      <name val="Arial"/>
      <family val="2"/>
    </font>
    <font>
      <sz val="12"/>
      <color theme="1"/>
      <name val="Calibri"/>
      <family val="2"/>
      <scheme val="minor"/>
    </font>
    <font>
      <sz val="12"/>
      <color theme="0"/>
      <name val="Arial"/>
      <family val="2"/>
    </font>
    <font>
      <b/>
      <u/>
      <sz val="16"/>
      <name val="Papyrus"/>
      <family val="4"/>
    </font>
    <font>
      <sz val="16"/>
      <name val="Arial"/>
      <family val="2"/>
    </font>
    <font>
      <sz val="12"/>
      <name val="Calibri"/>
      <family val="2"/>
      <scheme val="minor"/>
    </font>
    <font>
      <b/>
      <u/>
      <sz val="12"/>
      <name val="Arial"/>
      <family val="2"/>
    </font>
    <font>
      <sz val="16"/>
      <color theme="1"/>
      <name val="Papyrus"/>
      <family val="4"/>
    </font>
    <font>
      <sz val="9.5"/>
      <color theme="1"/>
      <name val="Arial"/>
      <family val="2"/>
    </font>
    <font>
      <sz val="14"/>
      <color theme="1"/>
      <name val="Arial"/>
      <family val="2"/>
    </font>
    <font>
      <b/>
      <sz val="10"/>
      <color theme="1"/>
      <name val="Arial"/>
      <family val="2"/>
    </font>
    <font>
      <b/>
      <sz val="9"/>
      <color theme="1"/>
      <name val="Arial"/>
      <family val="2"/>
    </font>
    <font>
      <b/>
      <sz val="8"/>
      <color theme="1"/>
      <name val="Arial"/>
      <family val="2"/>
    </font>
    <font>
      <b/>
      <sz val="14"/>
      <color theme="1"/>
      <name val="Arial"/>
      <family val="2"/>
    </font>
    <font>
      <sz val="10.5"/>
      <color theme="1"/>
      <name val="Arial"/>
      <family val="2"/>
    </font>
    <font>
      <b/>
      <sz val="11"/>
      <color theme="1"/>
      <name val="Arial"/>
      <family val="2"/>
    </font>
    <font>
      <sz val="11"/>
      <color theme="1"/>
      <name val="Calibri"/>
      <family val="2"/>
      <scheme val="minor"/>
    </font>
    <font>
      <sz val="16"/>
      <color theme="1"/>
      <name val="Calibri"/>
      <family val="2"/>
      <scheme val="minor"/>
    </font>
    <font>
      <u/>
      <sz val="12"/>
      <color theme="1"/>
      <name val="Arial"/>
      <family val="2"/>
    </font>
    <font>
      <b/>
      <sz val="11"/>
      <name val="Arial"/>
      <family val="2"/>
    </font>
    <font>
      <b/>
      <u/>
      <sz val="12"/>
      <color theme="1"/>
      <name val="Calibri"/>
      <family val="2"/>
      <scheme val="minor"/>
    </font>
    <font>
      <u/>
      <sz val="12"/>
      <name val="Arial"/>
      <family val="2"/>
    </font>
    <font>
      <b/>
      <sz val="18"/>
      <color theme="1"/>
      <name val="Arial"/>
      <family val="2"/>
    </font>
    <font>
      <b/>
      <u/>
      <sz val="20"/>
      <name val="Papyrus"/>
      <family val="4"/>
    </font>
    <font>
      <sz val="20"/>
      <color theme="1"/>
      <name val="Calibri"/>
      <family val="2"/>
      <scheme val="minor"/>
    </font>
    <font>
      <b/>
      <u/>
      <sz val="11"/>
      <color theme="1"/>
      <name val="Calibri"/>
      <family val="2"/>
      <scheme val="minor"/>
    </font>
    <font>
      <b/>
      <sz val="11"/>
      <color indexed="8"/>
      <name val="Arial"/>
      <family val="2"/>
    </font>
    <font>
      <sz val="11"/>
      <color indexed="8"/>
      <name val="Arial"/>
      <family val="2"/>
    </font>
    <font>
      <sz val="10"/>
      <color indexed="10"/>
      <name val="Arial"/>
      <family val="2"/>
    </font>
    <font>
      <b/>
      <sz val="10"/>
      <name val="Arial"/>
      <family val="2"/>
    </font>
    <font>
      <b/>
      <u/>
      <sz val="14"/>
      <name val="Papyrus"/>
      <family val="4"/>
    </font>
    <font>
      <b/>
      <u/>
      <sz val="12"/>
      <name val="Papyrus"/>
      <family val="4"/>
    </font>
    <font>
      <i/>
      <sz val="10"/>
      <name val="Arial"/>
      <family val="2"/>
    </font>
    <font>
      <sz val="16"/>
      <color theme="1"/>
      <name val="Arial"/>
      <family val="2"/>
    </font>
    <font>
      <b/>
      <u/>
      <sz val="16"/>
      <color theme="1"/>
      <name val="Arial"/>
      <family val="2"/>
    </font>
    <font>
      <b/>
      <sz val="9"/>
      <color indexed="81"/>
      <name val="Tahoma"/>
      <family val="2"/>
    </font>
    <font>
      <sz val="10"/>
      <color indexed="81"/>
      <name val="Tahoma"/>
      <family val="2"/>
    </font>
    <font>
      <sz val="8"/>
      <color indexed="81"/>
      <name val="Tahoma"/>
      <family val="2"/>
    </font>
    <font>
      <u/>
      <sz val="10"/>
      <color theme="1"/>
      <name val="Arial"/>
      <family val="2"/>
    </font>
    <font>
      <sz val="8"/>
      <color theme="1"/>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rgb="FFCCFFCC"/>
        <bgColor indexed="64"/>
      </patternFill>
    </fill>
    <fill>
      <patternFill patternType="solid">
        <fgColor rgb="FFFFFF99"/>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1" tint="0.34998626667073579"/>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3" tint="0.59999389629810485"/>
        <bgColor indexed="2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FF"/>
        <bgColor indexed="64"/>
      </patternFill>
    </fill>
    <fill>
      <patternFill patternType="solid">
        <fgColor rgb="FF7030A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CC"/>
      </patternFill>
    </fill>
    <fill>
      <patternFill patternType="solid">
        <fgColor theme="8" tint="0.39997558519241921"/>
        <bgColor indexed="64"/>
      </patternFill>
    </fill>
    <fill>
      <patternFill patternType="solid">
        <fgColor indexed="41"/>
        <bgColor indexed="64"/>
      </patternFill>
    </fill>
    <fill>
      <patternFill patternType="solid">
        <fgColor indexed="9"/>
        <bgColor indexed="64"/>
      </patternFill>
    </fill>
    <fill>
      <patternFill patternType="solid">
        <fgColor theme="9" tint="-0.249977111117893"/>
        <bgColor indexed="64"/>
      </patternFill>
    </fill>
  </fills>
  <borders count="10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double">
        <color auto="1"/>
      </left>
      <right/>
      <top style="thin">
        <color indexed="64"/>
      </top>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auto="1"/>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medium">
        <color indexed="64"/>
      </top>
      <bottom style="medium">
        <color indexed="64"/>
      </bottom>
      <diagonal/>
    </border>
    <border>
      <left style="double">
        <color auto="1"/>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double">
        <color auto="1"/>
      </left>
      <right/>
      <top style="medium">
        <color indexed="64"/>
      </top>
      <bottom style="thin">
        <color indexed="64"/>
      </bottom>
      <diagonal/>
    </border>
    <border>
      <left style="thin">
        <color indexed="64"/>
      </left>
      <right style="double">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38">
    <xf numFmtId="0" fontId="0" fillId="0" borderId="0"/>
    <xf numFmtId="0" fontId="5" fillId="3" borderId="0" applyNumberFormat="0" applyBorder="0" applyAlignment="0" applyProtection="0"/>
    <xf numFmtId="0" fontId="6" fillId="4" borderId="0" applyNumberFormat="0" applyBorder="0" applyAlignment="0" applyProtection="0"/>
    <xf numFmtId="0" fontId="37" fillId="29" borderId="93" applyNumberFormat="0" applyFon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cellStyleXfs>
  <cellXfs count="1063">
    <xf numFmtId="0" fontId="0" fillId="0" borderId="0" xfId="0"/>
    <xf numFmtId="0" fontId="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left" vertical="center"/>
      <protection hidden="1"/>
    </xf>
    <xf numFmtId="0" fontId="3" fillId="2" borderId="3"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2" borderId="26" xfId="0" applyFont="1" applyFill="1" applyBorder="1" applyAlignment="1" applyProtection="1">
      <alignment horizontal="center" vertical="center"/>
      <protection hidden="1"/>
    </xf>
    <xf numFmtId="0" fontId="1" fillId="2" borderId="28" xfId="0" applyFont="1" applyFill="1" applyBorder="1" applyAlignment="1" applyProtection="1">
      <alignment vertical="center"/>
      <protection hidden="1"/>
    </xf>
    <xf numFmtId="0" fontId="1" fillId="2" borderId="29" xfId="0" applyFont="1" applyFill="1" applyBorder="1" applyAlignment="1" applyProtection="1">
      <alignment vertical="center"/>
      <protection hidden="1"/>
    </xf>
    <xf numFmtId="0" fontId="8" fillId="6" borderId="1" xfId="1" applyFont="1" applyFill="1" applyBorder="1" applyAlignment="1" applyProtection="1">
      <alignment horizontal="center" vertical="center"/>
      <protection locked="0" hidden="1"/>
    </xf>
    <xf numFmtId="0" fontId="1" fillId="2" borderId="31" xfId="0" applyFont="1" applyFill="1" applyBorder="1" applyAlignment="1" applyProtection="1">
      <alignment vertical="center"/>
      <protection hidden="1"/>
    </xf>
    <xf numFmtId="0" fontId="1" fillId="2" borderId="35" xfId="0" applyFont="1" applyFill="1" applyBorder="1" applyAlignment="1" applyProtection="1">
      <alignment vertical="center"/>
      <protection hidden="1"/>
    </xf>
    <xf numFmtId="0" fontId="9" fillId="0" borderId="36" xfId="0" applyFont="1" applyBorder="1" applyAlignment="1" applyProtection="1">
      <alignment horizontal="center" vertical="center"/>
      <protection hidden="1"/>
    </xf>
    <xf numFmtId="0" fontId="9" fillId="0" borderId="37" xfId="0" applyFont="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6" borderId="42" xfId="2" applyFont="1" applyFill="1" applyBorder="1" applyAlignment="1" applyProtection="1">
      <alignment horizontal="center" vertical="center"/>
      <protection locked="0" hidden="1"/>
    </xf>
    <xf numFmtId="0" fontId="8" fillId="0" borderId="42" xfId="0" applyFont="1" applyBorder="1" applyAlignment="1" applyProtection="1">
      <alignment horizontal="center" vertical="center"/>
      <protection locked="0" hidden="1"/>
    </xf>
    <xf numFmtId="0" fontId="8" fillId="6" borderId="42" xfId="1" applyNumberFormat="1" applyFont="1" applyFill="1" applyBorder="1" applyAlignment="1" applyProtection="1">
      <alignment horizontal="center" vertical="center"/>
      <protection locked="0" hidden="1"/>
    </xf>
    <xf numFmtId="0" fontId="8" fillId="0" borderId="42"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0" fillId="2" borderId="25" xfId="0" applyFont="1" applyFill="1" applyBorder="1" applyAlignment="1" applyProtection="1">
      <alignment vertical="center"/>
      <protection hidden="1"/>
    </xf>
    <xf numFmtId="0" fontId="10" fillId="2" borderId="44"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38"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1" fillId="2" borderId="32" xfId="0" applyFont="1" applyFill="1" applyBorder="1" applyAlignment="1" applyProtection="1">
      <alignment vertical="center"/>
      <protection hidden="1"/>
    </xf>
    <xf numFmtId="0" fontId="1" fillId="2" borderId="33" xfId="0" applyFont="1" applyFill="1" applyBorder="1" applyAlignment="1" applyProtection="1">
      <alignment vertical="center"/>
      <protection hidden="1"/>
    </xf>
    <xf numFmtId="0" fontId="10" fillId="2" borderId="33" xfId="0" applyFont="1" applyFill="1" applyBorder="1" applyAlignment="1" applyProtection="1">
      <alignment horizontal="center" vertical="center"/>
      <protection hidden="1"/>
    </xf>
    <xf numFmtId="0" fontId="11" fillId="0" borderId="46" xfId="0" applyFont="1" applyBorder="1" applyAlignment="1" applyProtection="1">
      <alignment vertical="center"/>
      <protection hidden="1"/>
    </xf>
    <xf numFmtId="0" fontId="11" fillId="0" borderId="47" xfId="0" applyFont="1" applyBorder="1" applyAlignment="1" applyProtection="1">
      <alignment vertical="center"/>
      <protection hidden="1"/>
    </xf>
    <xf numFmtId="0" fontId="12" fillId="7" borderId="48" xfId="0" applyFont="1" applyFill="1" applyBorder="1" applyAlignment="1" applyProtection="1">
      <alignment horizontal="center" vertical="center"/>
      <protection hidden="1"/>
    </xf>
    <xf numFmtId="0" fontId="12" fillId="8" borderId="49" xfId="0" applyFont="1" applyFill="1" applyBorder="1" applyAlignment="1" applyProtection="1">
      <alignment horizontal="center" vertical="center"/>
      <protection hidden="1"/>
    </xf>
    <xf numFmtId="0" fontId="12" fillId="9" borderId="48" xfId="0" applyFont="1" applyFill="1" applyBorder="1" applyAlignment="1" applyProtection="1">
      <alignment horizontal="center" vertical="center"/>
      <protection hidden="1"/>
    </xf>
    <xf numFmtId="0" fontId="12" fillId="10" borderId="50" xfId="0" applyFont="1" applyFill="1" applyBorder="1" applyAlignment="1" applyProtection="1">
      <alignment horizontal="center" vertical="center"/>
      <protection hidden="1"/>
    </xf>
    <xf numFmtId="0" fontId="12" fillId="10" borderId="49" xfId="0" applyFont="1" applyFill="1" applyBorder="1" applyAlignment="1" applyProtection="1">
      <alignment horizontal="center" vertical="center"/>
      <protection hidden="1"/>
    </xf>
    <xf numFmtId="0" fontId="3" fillId="7" borderId="51" xfId="0" applyFont="1" applyFill="1" applyBorder="1" applyAlignment="1" applyProtection="1">
      <alignment horizontal="center" vertical="center"/>
      <protection hidden="1"/>
    </xf>
    <xf numFmtId="0" fontId="3" fillId="8" borderId="35" xfId="0" applyFont="1" applyFill="1" applyBorder="1" applyAlignment="1" applyProtection="1">
      <alignment horizontal="center" vertical="center"/>
      <protection hidden="1"/>
    </xf>
    <xf numFmtId="0" fontId="3" fillId="9" borderId="51" xfId="0" applyFont="1" applyFill="1" applyBorder="1" applyAlignment="1" applyProtection="1">
      <alignment horizontal="center" vertical="center"/>
      <protection hidden="1"/>
    </xf>
    <xf numFmtId="0" fontId="3" fillId="10" borderId="26" xfId="0" applyFont="1" applyFill="1" applyBorder="1" applyAlignment="1" applyProtection="1">
      <alignment horizontal="center" vertical="center"/>
      <protection hidden="1"/>
    </xf>
    <xf numFmtId="0" fontId="3" fillId="10" borderId="35" xfId="0" applyFont="1" applyFill="1" applyBorder="1" applyAlignment="1" applyProtection="1">
      <alignment horizontal="center" vertical="center"/>
      <protection hidden="1"/>
    </xf>
    <xf numFmtId="0" fontId="3" fillId="11" borderId="36" xfId="0" applyFont="1" applyFill="1" applyBorder="1" applyAlignment="1" applyProtection="1">
      <alignment horizontal="center" vertical="center"/>
      <protection hidden="1"/>
    </xf>
    <xf numFmtId="0" fontId="3" fillId="8" borderId="51" xfId="0" applyFont="1" applyFill="1" applyBorder="1" applyAlignment="1" applyProtection="1">
      <alignment horizontal="center" vertical="center"/>
      <protection hidden="1"/>
    </xf>
    <xf numFmtId="0" fontId="12" fillId="12" borderId="48" xfId="0" applyFont="1" applyFill="1" applyBorder="1" applyAlignment="1" applyProtection="1">
      <alignment horizontal="center" vertical="center"/>
      <protection hidden="1"/>
    </xf>
    <xf numFmtId="0" fontId="3" fillId="12" borderId="51" xfId="0" applyFont="1" applyFill="1" applyBorder="1" applyAlignment="1" applyProtection="1">
      <alignment horizontal="center" vertical="center"/>
      <protection hidden="1"/>
    </xf>
    <xf numFmtId="0" fontId="3" fillId="12" borderId="36" xfId="0" applyFont="1" applyFill="1" applyBorder="1" applyAlignment="1" applyProtection="1">
      <alignment horizontal="center" vertical="center"/>
      <protection hidden="1"/>
    </xf>
    <xf numFmtId="0" fontId="3" fillId="8" borderId="36" xfId="0" applyFont="1" applyFill="1" applyBorder="1" applyAlignment="1" applyProtection="1">
      <alignment horizontal="center" vertical="center"/>
      <protection hidden="1"/>
    </xf>
    <xf numFmtId="0" fontId="3" fillId="9" borderId="36" xfId="0" applyFont="1" applyFill="1" applyBorder="1" applyAlignment="1" applyProtection="1">
      <alignment horizontal="center" vertical="center"/>
      <protection hidden="1"/>
    </xf>
    <xf numFmtId="0" fontId="3" fillId="13" borderId="48" xfId="0" applyFont="1" applyFill="1" applyBorder="1" applyAlignment="1" applyProtection="1">
      <alignment vertical="center"/>
      <protection hidden="1"/>
    </xf>
    <xf numFmtId="0" fontId="3" fillId="13" borderId="51" xfId="0" applyFont="1" applyFill="1" applyBorder="1" applyAlignment="1" applyProtection="1">
      <alignment vertical="center"/>
      <protection hidden="1"/>
    </xf>
    <xf numFmtId="0" fontId="3" fillId="10" borderId="37" xfId="0" applyFont="1" applyFill="1" applyBorder="1" applyAlignment="1" applyProtection="1">
      <alignment horizontal="center" vertical="center"/>
      <protection hidden="1"/>
    </xf>
    <xf numFmtId="0" fontId="3" fillId="10" borderId="52" xfId="0" applyFont="1" applyFill="1" applyBorder="1" applyAlignment="1" applyProtection="1">
      <alignment horizontal="center" vertical="center"/>
      <protection hidden="1"/>
    </xf>
    <xf numFmtId="0" fontId="3" fillId="13" borderId="36" xfId="0" applyFont="1" applyFill="1" applyBorder="1" applyAlignment="1" applyProtection="1">
      <alignment vertical="center"/>
      <protection hidden="1"/>
    </xf>
    <xf numFmtId="0" fontId="3" fillId="0" borderId="0" xfId="0" applyFont="1" applyFill="1" applyAlignment="1" applyProtection="1">
      <alignment horizontal="center" vertical="center"/>
      <protection hidden="1"/>
    </xf>
    <xf numFmtId="0" fontId="3" fillId="14" borderId="48" xfId="0" applyFont="1" applyFill="1" applyBorder="1" applyAlignment="1" applyProtection="1">
      <alignment horizontal="center" vertical="center"/>
      <protection hidden="1"/>
    </xf>
    <xf numFmtId="0" fontId="3" fillId="14" borderId="36" xfId="0" applyFont="1" applyFill="1" applyBorder="1" applyAlignment="1" applyProtection="1">
      <alignment horizontal="center" vertical="center"/>
      <protection hidden="1"/>
    </xf>
    <xf numFmtId="0" fontId="12" fillId="15" borderId="50" xfId="0" applyFont="1" applyFill="1" applyBorder="1" applyAlignment="1" applyProtection="1">
      <alignment horizontal="center" vertical="center"/>
      <protection hidden="1"/>
    </xf>
    <xf numFmtId="0" fontId="12" fillId="15" borderId="25" xfId="0" applyFont="1" applyFill="1" applyBorder="1" applyAlignment="1" applyProtection="1">
      <alignment horizontal="center" vertical="center"/>
      <protection hidden="1"/>
    </xf>
    <xf numFmtId="0" fontId="12" fillId="15" borderId="49" xfId="0" applyFont="1" applyFill="1" applyBorder="1" applyAlignment="1" applyProtection="1">
      <alignment horizontal="center" vertical="center"/>
      <protection hidden="1"/>
    </xf>
    <xf numFmtId="0" fontId="3" fillId="15" borderId="26" xfId="0" applyFont="1" applyFill="1" applyBorder="1" applyAlignment="1" applyProtection="1">
      <alignment horizontal="center" vertical="center"/>
      <protection hidden="1"/>
    </xf>
    <xf numFmtId="0" fontId="3" fillId="15" borderId="0" xfId="0" applyFont="1" applyFill="1" applyBorder="1" applyAlignment="1" applyProtection="1">
      <alignment horizontal="center" vertical="center"/>
      <protection hidden="1"/>
    </xf>
    <xf numFmtId="0" fontId="3" fillId="15" borderId="35" xfId="0" applyFont="1" applyFill="1" applyBorder="1" applyAlignment="1" applyProtection="1">
      <alignment horizontal="center" vertical="center"/>
      <protection hidden="1"/>
    </xf>
    <xf numFmtId="0" fontId="3" fillId="15" borderId="37" xfId="0" applyFont="1" applyFill="1" applyBorder="1" applyAlignment="1" applyProtection="1">
      <alignment horizontal="center" vertical="center"/>
      <protection hidden="1"/>
    </xf>
    <xf numFmtId="0" fontId="3" fillId="15" borderId="18" xfId="0" applyFont="1" applyFill="1" applyBorder="1" applyAlignment="1" applyProtection="1">
      <alignment horizontal="center" vertical="center"/>
      <protection hidden="1"/>
    </xf>
    <xf numFmtId="0" fontId="3" fillId="15" borderId="52" xfId="0" applyFont="1" applyFill="1" applyBorder="1" applyAlignment="1" applyProtection="1">
      <alignment horizontal="center" vertical="center"/>
      <protection hidden="1"/>
    </xf>
    <xf numFmtId="0" fontId="12" fillId="16" borderId="50" xfId="0" applyFont="1" applyFill="1" applyBorder="1" applyAlignment="1" applyProtection="1">
      <alignment horizontal="center" vertical="center"/>
      <protection hidden="1"/>
    </xf>
    <xf numFmtId="0" fontId="12" fillId="16" borderId="25" xfId="0" applyFont="1" applyFill="1" applyBorder="1" applyAlignment="1" applyProtection="1">
      <alignment horizontal="center" vertical="center"/>
      <protection hidden="1"/>
    </xf>
    <xf numFmtId="0" fontId="3" fillId="16" borderId="26" xfId="0" applyFont="1" applyFill="1" applyBorder="1" applyAlignment="1" applyProtection="1">
      <alignment horizontal="center" vertical="center"/>
      <protection hidden="1"/>
    </xf>
    <xf numFmtId="0" fontId="3" fillId="16" borderId="0" xfId="0" applyFont="1" applyFill="1" applyBorder="1" applyAlignment="1" applyProtection="1">
      <alignment horizontal="center" vertical="center"/>
      <protection hidden="1"/>
    </xf>
    <xf numFmtId="0" fontId="3" fillId="16" borderId="35" xfId="0" applyFont="1" applyFill="1" applyBorder="1" applyAlignment="1" applyProtection="1">
      <alignment horizontal="center" vertical="center"/>
      <protection hidden="1"/>
    </xf>
    <xf numFmtId="0" fontId="3" fillId="16" borderId="18" xfId="0" applyFont="1" applyFill="1" applyBorder="1" applyAlignment="1" applyProtection="1">
      <alignment horizontal="center" vertical="center"/>
      <protection hidden="1"/>
    </xf>
    <xf numFmtId="0" fontId="3" fillId="16" borderId="52" xfId="0" applyFont="1" applyFill="1" applyBorder="1" applyAlignment="1" applyProtection="1">
      <alignment horizontal="center" vertical="center"/>
      <protection hidden="1"/>
    </xf>
    <xf numFmtId="0" fontId="13" fillId="17" borderId="50" xfId="0" applyFont="1" applyFill="1" applyBorder="1" applyAlignment="1" applyProtection="1">
      <alignment horizontal="center" vertical="center"/>
      <protection hidden="1"/>
    </xf>
    <xf numFmtId="0" fontId="13" fillId="17" borderId="25" xfId="0" applyFont="1" applyFill="1" applyBorder="1" applyAlignment="1" applyProtection="1">
      <alignment horizontal="center" vertical="center"/>
      <protection hidden="1"/>
    </xf>
    <xf numFmtId="0" fontId="3" fillId="18" borderId="26" xfId="0" applyFont="1" applyFill="1" applyBorder="1" applyAlignment="1" applyProtection="1">
      <alignment horizontal="center" vertical="center"/>
      <protection hidden="1"/>
    </xf>
    <xf numFmtId="0" fontId="3" fillId="18" borderId="0" xfId="0" applyFont="1" applyFill="1" applyBorder="1" applyAlignment="1" applyProtection="1">
      <alignment horizontal="center" vertical="center"/>
      <protection hidden="1"/>
    </xf>
    <xf numFmtId="0" fontId="15" fillId="17" borderId="0" xfId="0" applyFont="1" applyFill="1" applyBorder="1" applyProtection="1">
      <protection hidden="1"/>
    </xf>
    <xf numFmtId="0" fontId="15" fillId="17" borderId="35" xfId="0" applyFont="1" applyFill="1" applyBorder="1" applyProtection="1">
      <protection hidden="1"/>
    </xf>
    <xf numFmtId="0" fontId="14" fillId="17" borderId="0" xfId="0" applyFont="1" applyFill="1" applyBorder="1" applyProtection="1">
      <protection hidden="1"/>
    </xf>
    <xf numFmtId="0" fontId="16" fillId="17" borderId="35" xfId="0" applyFont="1" applyFill="1" applyBorder="1" applyProtection="1">
      <protection hidden="1"/>
    </xf>
    <xf numFmtId="0" fontId="3" fillId="18" borderId="37" xfId="0" applyFont="1" applyFill="1" applyBorder="1" applyAlignment="1" applyProtection="1">
      <alignment horizontal="center" vertical="center"/>
      <protection hidden="1"/>
    </xf>
    <xf numFmtId="0" fontId="15" fillId="17" borderId="18" xfId="0" applyFont="1" applyFill="1" applyBorder="1" applyProtection="1">
      <protection hidden="1"/>
    </xf>
    <xf numFmtId="0" fontId="15" fillId="17" borderId="52" xfId="0" applyFont="1" applyFill="1" applyBorder="1" applyProtection="1">
      <protection hidden="1"/>
    </xf>
    <xf numFmtId="0" fontId="14" fillId="17" borderId="18" xfId="0" applyFont="1" applyFill="1" applyBorder="1" applyProtection="1">
      <protection hidden="1"/>
    </xf>
    <xf numFmtId="0" fontId="16" fillId="17" borderId="52" xfId="0" applyFont="1" applyFill="1" applyBorder="1" applyProtection="1">
      <protection hidden="1"/>
    </xf>
    <xf numFmtId="0" fontId="12" fillId="19" borderId="49" xfId="0" applyFont="1" applyFill="1" applyBorder="1" applyAlignment="1" applyProtection="1">
      <alignment horizontal="center" vertical="center"/>
      <protection hidden="1"/>
    </xf>
    <xf numFmtId="0" fontId="12" fillId="21" borderId="25" xfId="0" applyFont="1" applyFill="1" applyBorder="1" applyAlignment="1" applyProtection="1">
      <alignment horizontal="center" vertical="center"/>
      <protection hidden="1"/>
    </xf>
    <xf numFmtId="0" fontId="3" fillId="21" borderId="0" xfId="0" applyFont="1" applyFill="1" applyBorder="1" applyAlignment="1" applyProtection="1">
      <alignment horizontal="center" vertical="center"/>
      <protection hidden="1"/>
    </xf>
    <xf numFmtId="0" fontId="3" fillId="21" borderId="18" xfId="0" applyFont="1" applyFill="1" applyBorder="1" applyAlignment="1" applyProtection="1">
      <alignment horizontal="center" vertical="center"/>
      <protection hidden="1"/>
    </xf>
    <xf numFmtId="0" fontId="17" fillId="21" borderId="0" xfId="0" applyFont="1" applyFill="1" applyBorder="1" applyAlignment="1" applyProtection="1">
      <alignment horizontal="left" vertical="center"/>
      <protection hidden="1"/>
    </xf>
    <xf numFmtId="0" fontId="17" fillId="21" borderId="18" xfId="0" applyFont="1" applyFill="1" applyBorder="1" applyAlignment="1" applyProtection="1">
      <alignment horizontal="left" vertical="center"/>
      <protection hidden="1"/>
    </xf>
    <xf numFmtId="0" fontId="1" fillId="2" borderId="3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8" fillId="2" borderId="51" xfId="0" applyFont="1" applyFill="1" applyBorder="1" applyAlignment="1" applyProtection="1">
      <alignment horizontal="center" vertical="center"/>
      <protection hidden="1"/>
    </xf>
    <xf numFmtId="0" fontId="18" fillId="2" borderId="36" xfId="0" applyFont="1" applyFill="1" applyBorder="1" applyAlignment="1" applyProtection="1">
      <alignment horizontal="center" vertical="center"/>
      <protection hidden="1"/>
    </xf>
    <xf numFmtId="9" fontId="1" fillId="2" borderId="20" xfId="0" applyNumberFormat="1" applyFont="1" applyFill="1" applyBorder="1" applyAlignment="1" applyProtection="1">
      <alignment horizontal="center" vertical="center"/>
      <protection hidden="1"/>
    </xf>
    <xf numFmtId="0" fontId="1" fillId="2" borderId="36" xfId="0" applyFont="1" applyFill="1" applyBorder="1" applyAlignment="1" applyProtection="1">
      <alignment horizontal="center" vertical="center"/>
      <protection hidden="1"/>
    </xf>
    <xf numFmtId="9" fontId="1" fillId="2" borderId="43" xfId="0" applyNumberFormat="1" applyFont="1" applyFill="1" applyBorder="1" applyAlignment="1" applyProtection="1">
      <alignment horizontal="center" vertical="center"/>
      <protection hidden="1"/>
    </xf>
    <xf numFmtId="0" fontId="1" fillId="22" borderId="42" xfId="0" applyFont="1" applyFill="1" applyBorder="1" applyAlignment="1" applyProtection="1">
      <alignment horizontal="center" vertical="center"/>
      <protection hidden="1"/>
    </xf>
    <xf numFmtId="0" fontId="1" fillId="22" borderId="43" xfId="0" applyFont="1" applyFill="1" applyBorder="1" applyAlignment="1" applyProtection="1">
      <alignment horizontal="center" vertical="center"/>
      <protection hidden="1"/>
    </xf>
    <xf numFmtId="0" fontId="1" fillId="22" borderId="42" xfId="0" applyNumberFormat="1" applyFont="1" applyFill="1" applyBorder="1" applyAlignment="1" applyProtection="1">
      <alignment horizontal="center" vertical="center"/>
      <protection hidden="1"/>
    </xf>
    <xf numFmtId="0" fontId="1" fillId="2" borderId="18" xfId="0" applyFont="1" applyFill="1" applyBorder="1" applyAlignment="1" applyProtection="1">
      <alignment vertical="center"/>
      <protection hidden="1"/>
    </xf>
    <xf numFmtId="1" fontId="1" fillId="2" borderId="55" xfId="0" applyNumberFormat="1" applyFont="1" applyFill="1" applyBorder="1" applyAlignment="1" applyProtection="1">
      <alignment horizontal="center" vertical="center"/>
      <protection hidden="1"/>
    </xf>
    <xf numFmtId="9" fontId="1" fillId="2" borderId="56" xfId="0" applyNumberFormat="1" applyFont="1" applyFill="1" applyBorder="1" applyAlignment="1" applyProtection="1">
      <alignment horizontal="center" vertical="center"/>
      <protection hidden="1"/>
    </xf>
    <xf numFmtId="9" fontId="1" fillId="2" borderId="57" xfId="0" applyNumberFormat="1" applyFont="1" applyFill="1" applyBorder="1" applyAlignment="1" applyProtection="1">
      <alignment horizontal="center" vertical="center"/>
      <protection hidden="1"/>
    </xf>
    <xf numFmtId="0" fontId="9" fillId="2" borderId="52" xfId="0" applyFont="1" applyFill="1" applyBorder="1" applyAlignment="1" applyProtection="1">
      <alignment vertical="center"/>
      <protection hidden="1"/>
    </xf>
    <xf numFmtId="0" fontId="1" fillId="0" borderId="42" xfId="0" applyFont="1" applyBorder="1" applyAlignment="1" applyProtection="1">
      <alignment horizontal="center" vertical="center"/>
      <protection hidden="1"/>
    </xf>
    <xf numFmtId="0" fontId="8" fillId="6" borderId="42" xfId="1" applyFont="1" applyFill="1" applyBorder="1" applyAlignment="1" applyProtection="1">
      <alignment horizontal="center" vertical="center"/>
      <protection locked="0" hidden="1"/>
    </xf>
    <xf numFmtId="0" fontId="1" fillId="0" borderId="58" xfId="0" applyFont="1" applyBorder="1" applyAlignment="1" applyProtection="1">
      <alignment horizontal="center" vertical="center"/>
      <protection hidden="1"/>
    </xf>
    <xf numFmtId="0" fontId="10" fillId="2" borderId="0" xfId="0" applyNumberFormat="1" applyFont="1" applyFill="1" applyBorder="1" applyAlignment="1" applyProtection="1">
      <alignment horizontal="center" vertical="center"/>
      <protection hidden="1"/>
    </xf>
    <xf numFmtId="0" fontId="8" fillId="2" borderId="0" xfId="0" applyNumberFormat="1" applyFont="1" applyFill="1" applyBorder="1" applyAlignment="1" applyProtection="1">
      <alignment horizontal="center" vertical="center"/>
      <protection hidden="1"/>
    </xf>
    <xf numFmtId="0" fontId="11" fillId="2" borderId="46" xfId="0" applyNumberFormat="1" applyFont="1" applyFill="1" applyBorder="1" applyAlignment="1" applyProtection="1">
      <alignment horizontal="center" vertical="center"/>
      <protection hidden="1"/>
    </xf>
    <xf numFmtId="0" fontId="11" fillId="2" borderId="46" xfId="0" applyFont="1" applyFill="1" applyBorder="1" applyAlignment="1" applyProtection="1">
      <alignment horizontal="center" vertical="center"/>
      <protection hidden="1"/>
    </xf>
    <xf numFmtId="0" fontId="1" fillId="2" borderId="34" xfId="0" applyFont="1" applyFill="1" applyBorder="1" applyAlignment="1" applyProtection="1">
      <alignment vertical="center"/>
      <protection hidden="1"/>
    </xf>
    <xf numFmtId="0" fontId="3" fillId="0" borderId="41" xfId="0" applyFont="1" applyFill="1" applyBorder="1" applyAlignment="1" applyProtection="1">
      <alignment horizontal="center" vertical="center"/>
      <protection hidden="1"/>
    </xf>
    <xf numFmtId="0" fontId="12" fillId="20" borderId="48" xfId="0" applyFont="1" applyFill="1" applyBorder="1" applyAlignment="1" applyProtection="1">
      <alignment horizontal="center" vertical="center"/>
      <protection hidden="1"/>
    </xf>
    <xf numFmtId="0" fontId="3" fillId="20" borderId="51" xfId="0" applyFont="1" applyFill="1" applyBorder="1" applyAlignment="1" applyProtection="1">
      <alignment horizontal="center" vertical="center"/>
      <protection hidden="1"/>
    </xf>
    <xf numFmtId="0" fontId="3" fillId="20" borderId="36" xfId="0" applyFont="1" applyFill="1" applyBorder="1" applyAlignment="1" applyProtection="1">
      <alignment horizontal="center" vertical="center"/>
      <protection hidden="1"/>
    </xf>
    <xf numFmtId="0" fontId="1" fillId="6" borderId="59" xfId="0" applyFont="1" applyFill="1" applyBorder="1" applyAlignment="1" applyProtection="1">
      <alignment horizontal="center" vertical="center"/>
      <protection locked="0" hidden="1"/>
    </xf>
    <xf numFmtId="0" fontId="9" fillId="2" borderId="51" xfId="0" applyFont="1" applyFill="1" applyBorder="1" applyAlignment="1" applyProtection="1">
      <alignment horizontal="center" vertical="center"/>
      <protection hidden="1"/>
    </xf>
    <xf numFmtId="0" fontId="18" fillId="2" borderId="51" xfId="0" applyFont="1" applyFill="1" applyBorder="1" applyAlignment="1" applyProtection="1">
      <alignment horizontal="center" vertical="center" shrinkToFit="1"/>
      <protection hidden="1"/>
    </xf>
    <xf numFmtId="0" fontId="3" fillId="10" borderId="0" xfId="0" applyFont="1" applyFill="1" applyBorder="1" applyAlignment="1" applyProtection="1">
      <alignment horizontal="center" vertical="center"/>
      <protection hidden="1"/>
    </xf>
    <xf numFmtId="0" fontId="12" fillId="23" borderId="25" xfId="0" applyFont="1" applyFill="1" applyBorder="1" applyAlignment="1" applyProtection="1">
      <alignment horizontal="center" vertical="center"/>
      <protection hidden="1"/>
    </xf>
    <xf numFmtId="0" fontId="12" fillId="23" borderId="49" xfId="0" applyFont="1" applyFill="1" applyBorder="1" applyAlignment="1" applyProtection="1">
      <alignment horizontal="center" vertical="center"/>
      <protection hidden="1"/>
    </xf>
    <xf numFmtId="0" fontId="3" fillId="23" borderId="0" xfId="0" applyFont="1" applyFill="1" applyBorder="1" applyAlignment="1" applyProtection="1">
      <alignment horizontal="center" vertical="center"/>
      <protection hidden="1"/>
    </xf>
    <xf numFmtId="0" fontId="3" fillId="23" borderId="35" xfId="0" applyFont="1" applyFill="1" applyBorder="1" applyAlignment="1" applyProtection="1">
      <alignment horizontal="center" vertical="center"/>
      <protection hidden="1"/>
    </xf>
    <xf numFmtId="0" fontId="8" fillId="2" borderId="42" xfId="1" applyFont="1" applyFill="1" applyBorder="1" applyAlignment="1" applyProtection="1">
      <alignment horizontal="center" vertical="center"/>
      <protection locked="0" hidden="1"/>
    </xf>
    <xf numFmtId="0" fontId="20" fillId="2" borderId="42" xfId="0" applyFont="1" applyFill="1" applyBorder="1" applyAlignment="1" applyProtection="1">
      <alignment horizontal="right" vertical="center"/>
      <protection hidden="1"/>
    </xf>
    <xf numFmtId="0" fontId="11" fillId="2" borderId="33" xfId="0" applyFont="1" applyFill="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0" fontId="12" fillId="2" borderId="36" xfId="0" applyFont="1" applyFill="1" applyBorder="1" applyAlignment="1" applyProtection="1">
      <alignment horizontal="center" vertical="center"/>
      <protection hidden="1"/>
    </xf>
    <xf numFmtId="0" fontId="8" fillId="2" borderId="20" xfId="0" applyFont="1" applyFill="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1" fillId="2" borderId="43" xfId="0" applyFont="1" applyFill="1" applyBorder="1" applyAlignment="1" applyProtection="1">
      <alignment horizontal="center" vertical="center"/>
      <protection hidden="1"/>
    </xf>
    <xf numFmtId="0" fontId="8" fillId="6" borderId="51" xfId="2" applyFont="1" applyFill="1" applyBorder="1" applyAlignment="1" applyProtection="1">
      <alignment horizontal="center" vertical="center"/>
      <protection locked="0" hidden="1"/>
    </xf>
    <xf numFmtId="0" fontId="8" fillId="2" borderId="51" xfId="1" applyFont="1" applyFill="1" applyBorder="1" applyAlignment="1" applyProtection="1">
      <alignment horizontal="center" vertical="center"/>
      <protection locked="0" hidden="1"/>
    </xf>
    <xf numFmtId="0" fontId="8" fillId="6" borderId="62" xfId="2" applyFont="1" applyFill="1" applyBorder="1" applyAlignment="1" applyProtection="1">
      <alignment horizontal="center" vertical="center"/>
      <protection locked="0" hidden="1"/>
    </xf>
    <xf numFmtId="0" fontId="8" fillId="2" borderId="62" xfId="1" applyFont="1" applyFill="1" applyBorder="1" applyAlignment="1" applyProtection="1">
      <alignment horizontal="center" vertical="center"/>
      <protection locked="0" hidden="1"/>
    </xf>
    <xf numFmtId="0" fontId="21" fillId="0" borderId="62" xfId="0" applyFont="1" applyBorder="1" applyAlignment="1" applyProtection="1">
      <alignment horizontal="center" vertical="center"/>
      <protection hidden="1"/>
    </xf>
    <xf numFmtId="0" fontId="12" fillId="10" borderId="25" xfId="0" applyFont="1" applyFill="1" applyBorder="1" applyAlignment="1" applyProtection="1">
      <alignment horizontal="center" vertical="center"/>
      <protection hidden="1"/>
    </xf>
    <xf numFmtId="0" fontId="3" fillId="10" borderId="18" xfId="0" applyFont="1" applyFill="1" applyBorder="1" applyAlignment="1" applyProtection="1">
      <alignment horizontal="center" vertical="center"/>
      <protection hidden="1"/>
    </xf>
    <xf numFmtId="0" fontId="3" fillId="10" borderId="25" xfId="0" applyFont="1" applyFill="1" applyBorder="1" applyAlignment="1" applyProtection="1">
      <alignment horizontal="center" vertical="center"/>
      <protection hidden="1"/>
    </xf>
    <xf numFmtId="0" fontId="3" fillId="10" borderId="50" xfId="0" applyFont="1" applyFill="1" applyBorder="1" applyAlignment="1" applyProtection="1">
      <alignment horizontal="center" vertical="center"/>
      <protection hidden="1"/>
    </xf>
    <xf numFmtId="0" fontId="3" fillId="10" borderId="49" xfId="0" applyFont="1" applyFill="1" applyBorder="1" applyAlignment="1" applyProtection="1">
      <alignment horizontal="center" vertical="center"/>
      <protection hidden="1"/>
    </xf>
    <xf numFmtId="0" fontId="8" fillId="6" borderId="36" xfId="2" applyFont="1" applyFill="1" applyBorder="1" applyAlignment="1" applyProtection="1">
      <alignment horizontal="center" vertical="center"/>
      <protection locked="0" hidden="1"/>
    </xf>
    <xf numFmtId="0" fontId="8" fillId="2" borderId="36" xfId="1" applyFont="1" applyFill="1" applyBorder="1" applyAlignment="1" applyProtection="1">
      <alignment horizontal="center" vertical="center"/>
      <protection locked="0" hidden="1"/>
    </xf>
    <xf numFmtId="0" fontId="4" fillId="0" borderId="36"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1" fillId="2" borderId="65" xfId="0" applyFont="1" applyFill="1" applyBorder="1" applyAlignment="1" applyProtection="1">
      <alignment horizontal="center" vertical="center"/>
      <protection hidden="1"/>
    </xf>
    <xf numFmtId="0" fontId="3" fillId="10" borderId="40" xfId="0" applyFont="1" applyFill="1" applyBorder="1" applyAlignment="1" applyProtection="1">
      <alignment horizontal="center" vertical="center"/>
      <protection hidden="1"/>
    </xf>
    <xf numFmtId="0" fontId="3" fillId="10" borderId="2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protection hidden="1"/>
    </xf>
    <xf numFmtId="0" fontId="11" fillId="2" borderId="33" xfId="0" applyFont="1" applyFill="1" applyBorder="1" applyProtection="1">
      <protection hidden="1"/>
    </xf>
    <xf numFmtId="0" fontId="22" fillId="2" borderId="33" xfId="0" applyFont="1" applyFill="1" applyBorder="1" applyProtection="1">
      <protection hidden="1"/>
    </xf>
    <xf numFmtId="0" fontId="9" fillId="2" borderId="30" xfId="0" applyFont="1" applyFill="1" applyBorder="1" applyAlignment="1" applyProtection="1">
      <alignment horizontal="center" vertical="center"/>
      <protection hidden="1"/>
    </xf>
    <xf numFmtId="0" fontId="1" fillId="6" borderId="39" xfId="0" applyFont="1" applyFill="1" applyBorder="1" applyAlignment="1" applyProtection="1">
      <alignment horizontal="center" vertical="center"/>
      <protection locked="0" hidden="1"/>
    </xf>
    <xf numFmtId="0" fontId="1" fillId="6" borderId="42" xfId="0" applyFont="1" applyFill="1" applyBorder="1" applyAlignment="1" applyProtection="1">
      <alignment horizontal="center" vertical="center"/>
      <protection locked="0" hidden="1"/>
    </xf>
    <xf numFmtId="0" fontId="1" fillId="2" borderId="39" xfId="0" applyFont="1" applyFill="1" applyBorder="1" applyAlignment="1" applyProtection="1">
      <alignment horizontal="center" vertical="center"/>
      <protection hidden="1"/>
    </xf>
    <xf numFmtId="0" fontId="1" fillId="2" borderId="66" xfId="0" applyFont="1" applyFill="1" applyBorder="1" applyAlignment="1" applyProtection="1">
      <alignment horizontal="center" vertical="center"/>
      <protection hidden="1"/>
    </xf>
    <xf numFmtId="0" fontId="1" fillId="2" borderId="48" xfId="0" applyFont="1" applyFill="1" applyBorder="1" applyAlignment="1" applyProtection="1">
      <alignment horizontal="center" vertical="center"/>
      <protection hidden="1"/>
    </xf>
    <xf numFmtId="0" fontId="1" fillId="22" borderId="65" xfId="0" applyFont="1" applyFill="1" applyBorder="1" applyAlignment="1" applyProtection="1">
      <alignment horizontal="center" vertical="center"/>
      <protection hidden="1"/>
    </xf>
    <xf numFmtId="0" fontId="1" fillId="6" borderId="62" xfId="0" applyFont="1" applyFill="1" applyBorder="1" applyAlignment="1" applyProtection="1">
      <alignment horizontal="center" vertical="center"/>
      <protection locked="0" hidden="1"/>
    </xf>
    <xf numFmtId="0" fontId="1" fillId="22" borderId="64" xfId="0" applyFont="1" applyFill="1" applyBorder="1" applyAlignment="1" applyProtection="1">
      <alignment horizontal="center" vertical="center"/>
      <protection hidden="1"/>
    </xf>
    <xf numFmtId="0" fontId="9" fillId="22" borderId="45" xfId="0" applyFont="1" applyFill="1" applyBorder="1" applyAlignment="1" applyProtection="1">
      <alignment horizontal="center"/>
      <protection hidden="1"/>
    </xf>
    <xf numFmtId="0" fontId="9" fillId="22" borderId="18" xfId="0" applyFont="1" applyFill="1" applyBorder="1" applyAlignment="1" applyProtection="1">
      <alignment horizontal="center"/>
      <protection hidden="1"/>
    </xf>
    <xf numFmtId="0" fontId="9" fillId="22" borderId="18" xfId="0" applyFont="1" applyFill="1" applyBorder="1" applyProtection="1">
      <protection hidden="1"/>
    </xf>
    <xf numFmtId="0" fontId="1" fillId="22" borderId="38" xfId="0" applyFont="1" applyFill="1" applyBorder="1" applyProtection="1">
      <protection hidden="1"/>
    </xf>
    <xf numFmtId="0" fontId="1" fillId="22" borderId="39" xfId="0" applyFont="1" applyFill="1" applyBorder="1" applyAlignment="1" applyProtection="1">
      <alignment horizontal="center"/>
      <protection hidden="1"/>
    </xf>
    <xf numFmtId="0" fontId="1" fillId="2" borderId="42" xfId="0" applyFont="1" applyFill="1" applyBorder="1" applyAlignment="1" applyProtection="1">
      <alignment horizontal="center"/>
      <protection locked="0" hidden="1"/>
    </xf>
    <xf numFmtId="0" fontId="1" fillId="22" borderId="67" xfId="0" applyFont="1" applyFill="1" applyBorder="1" applyAlignment="1" applyProtection="1">
      <alignment horizontal="center"/>
      <protection hidden="1"/>
    </xf>
    <xf numFmtId="0" fontId="1" fillId="2" borderId="55" xfId="0" applyFont="1" applyFill="1" applyBorder="1" applyAlignment="1" applyProtection="1">
      <alignment horizontal="center"/>
      <protection locked="0" hidden="1"/>
    </xf>
    <xf numFmtId="0" fontId="8" fillId="2" borderId="28" xfId="0" applyFont="1" applyFill="1" applyBorder="1" applyAlignment="1" applyProtection="1">
      <alignment horizontal="center" vertical="center"/>
      <protection hidden="1"/>
    </xf>
    <xf numFmtId="0" fontId="26" fillId="2" borderId="28"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protection hidden="1"/>
    </xf>
    <xf numFmtId="0" fontId="1" fillId="2" borderId="29" xfId="0"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27" fillId="2" borderId="35" xfId="0" applyFont="1" applyFill="1" applyBorder="1" applyAlignment="1" applyProtection="1">
      <alignment horizontal="center" vertical="center"/>
      <protection hidden="1"/>
    </xf>
    <xf numFmtId="0" fontId="27" fillId="2" borderId="51" xfId="0" applyFont="1" applyFill="1" applyBorder="1" applyAlignment="1" applyProtection="1">
      <alignment horizontal="center" vertical="center"/>
      <protection hidden="1"/>
    </xf>
    <xf numFmtId="0" fontId="27" fillId="2" borderId="26" xfId="0" applyFont="1" applyFill="1" applyBorder="1" applyAlignment="1" applyProtection="1">
      <alignment horizontal="center" vertical="center"/>
      <protection hidden="1"/>
    </xf>
    <xf numFmtId="0" fontId="9" fillId="2" borderId="63" xfId="0" applyFont="1" applyFill="1" applyBorder="1" applyAlignment="1" applyProtection="1">
      <alignment horizontal="center" vertical="center"/>
      <protection hidden="1"/>
    </xf>
    <xf numFmtId="0" fontId="8" fillId="2" borderId="51"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4" fillId="2" borderId="40" xfId="0" applyFont="1" applyFill="1" applyBorder="1" applyAlignment="1" applyProtection="1">
      <alignment horizontal="center" vertical="center" shrinkToFit="1"/>
      <protection hidden="1"/>
    </xf>
    <xf numFmtId="0" fontId="21" fillId="2" borderId="43" xfId="0" applyFont="1" applyFill="1" applyBorder="1" applyAlignment="1" applyProtection="1">
      <alignment horizontal="center" vertical="center" shrinkToFit="1"/>
      <protection hidden="1"/>
    </xf>
    <xf numFmtId="0" fontId="8" fillId="2" borderId="32"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0" fontId="26" fillId="2" borderId="33"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67"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3" fillId="2" borderId="68" xfId="0" applyFont="1" applyFill="1" applyBorder="1" applyAlignment="1" applyProtection="1">
      <alignment horizontal="center" vertical="center"/>
      <protection hidden="1"/>
    </xf>
    <xf numFmtId="0" fontId="3" fillId="2" borderId="69" xfId="0" applyFont="1" applyFill="1" applyBorder="1" applyAlignment="1" applyProtection="1">
      <alignment horizontal="center" vertical="center"/>
      <protection hidden="1"/>
    </xf>
    <xf numFmtId="0" fontId="3" fillId="2" borderId="70"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 fillId="2" borderId="71" xfId="0" applyFont="1" applyFill="1" applyBorder="1" applyAlignment="1" applyProtection="1">
      <alignment horizontal="center" vertical="center"/>
      <protection hidden="1"/>
    </xf>
    <xf numFmtId="0" fontId="3" fillId="2" borderId="72" xfId="0" applyFont="1" applyFill="1" applyBorder="1" applyAlignment="1" applyProtection="1">
      <alignment horizontal="center" vertical="center"/>
      <protection hidden="1"/>
    </xf>
    <xf numFmtId="0" fontId="3" fillId="2" borderId="73"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8" fillId="6" borderId="75" xfId="2" applyFont="1" applyFill="1" applyBorder="1" applyAlignment="1" applyProtection="1">
      <alignment horizontal="center" vertical="center"/>
      <protection locked="0" hidden="1"/>
    </xf>
    <xf numFmtId="0" fontId="8" fillId="2" borderId="75" xfId="1" applyFont="1" applyFill="1" applyBorder="1" applyAlignment="1" applyProtection="1">
      <alignment horizontal="center" vertical="center"/>
      <protection locked="0" hidden="1"/>
    </xf>
    <xf numFmtId="0" fontId="21" fillId="0" borderId="75" xfId="0" applyFont="1" applyBorder="1" applyAlignment="1" applyProtection="1">
      <alignment horizontal="center" vertical="center"/>
      <protection hidden="1"/>
    </xf>
    <xf numFmtId="0" fontId="1" fillId="2" borderId="21" xfId="0" applyFont="1" applyFill="1" applyBorder="1" applyAlignment="1" applyProtection="1">
      <alignment horizontal="center" vertical="center"/>
      <protection hidden="1"/>
    </xf>
    <xf numFmtId="0" fontId="1" fillId="2" borderId="76" xfId="0" applyFont="1" applyFill="1" applyBorder="1" applyAlignment="1" applyProtection="1">
      <alignment horizontal="center" vertical="center"/>
      <protection hidden="1"/>
    </xf>
    <xf numFmtId="0" fontId="1" fillId="2" borderId="77" xfId="0" applyFont="1" applyFill="1" applyBorder="1" applyAlignment="1" applyProtection="1">
      <alignment horizontal="center" vertical="center"/>
      <protection hidden="1"/>
    </xf>
    <xf numFmtId="0" fontId="1" fillId="2" borderId="75" xfId="0" applyFont="1" applyFill="1" applyBorder="1" applyAlignment="1" applyProtection="1">
      <alignment horizontal="center" vertical="center"/>
      <protection hidden="1"/>
    </xf>
    <xf numFmtId="0" fontId="1" fillId="22" borderId="76" xfId="0" applyFont="1" applyFill="1" applyBorder="1" applyAlignment="1" applyProtection="1">
      <alignment horizontal="center" vertical="center"/>
      <protection hidden="1"/>
    </xf>
    <xf numFmtId="0" fontId="1" fillId="2" borderId="48" xfId="0" applyFont="1" applyFill="1" applyBorder="1" applyAlignment="1" applyProtection="1">
      <alignment horizontal="center" vertical="center"/>
      <protection locked="0" hidden="1"/>
    </xf>
    <xf numFmtId="0" fontId="4" fillId="2" borderId="48" xfId="0" applyFont="1" applyFill="1" applyBorder="1" applyAlignment="1" applyProtection="1">
      <alignment horizontal="center" vertical="center"/>
      <protection hidden="1"/>
    </xf>
    <xf numFmtId="0" fontId="1" fillId="22" borderId="63"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0" fontId="1" fillId="2" borderId="62" xfId="0" applyFont="1" applyFill="1" applyBorder="1" applyAlignment="1" applyProtection="1">
      <alignment horizontal="center" vertical="center"/>
      <protection hidden="1"/>
    </xf>
    <xf numFmtId="0" fontId="1" fillId="6" borderId="78" xfId="0" applyFont="1" applyFill="1" applyBorder="1" applyAlignment="1" applyProtection="1">
      <alignment horizontal="center" vertical="center"/>
      <protection locked="0" hidden="1"/>
    </xf>
    <xf numFmtId="0" fontId="1" fillId="2" borderId="79" xfId="0" applyFont="1" applyFill="1" applyBorder="1" applyAlignment="1" applyProtection="1">
      <alignment horizontal="center" vertical="center"/>
      <protection hidden="1"/>
    </xf>
    <xf numFmtId="0" fontId="28" fillId="0" borderId="0" xfId="0" applyFont="1" applyFill="1" applyBorder="1" applyAlignment="1" applyProtection="1">
      <alignment vertical="center"/>
      <protection hidden="1"/>
    </xf>
    <xf numFmtId="0" fontId="1" fillId="22" borderId="80" xfId="0" applyFont="1" applyFill="1" applyBorder="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2" fillId="2" borderId="0" xfId="0" applyFont="1" applyFill="1" applyBorder="1" applyAlignment="1" applyProtection="1">
      <alignment horizontal="center" vertical="center"/>
      <protection hidden="1"/>
    </xf>
    <xf numFmtId="0" fontId="30" fillId="2" borderId="0" xfId="0" quotePrefix="1" applyFont="1" applyFill="1" applyBorder="1" applyAlignment="1" applyProtection="1">
      <alignment vertical="center"/>
      <protection hidden="1"/>
    </xf>
    <xf numFmtId="0" fontId="30" fillId="2" borderId="0" xfId="0" applyFont="1" applyFill="1" applyBorder="1" applyAlignment="1" applyProtection="1">
      <alignment vertical="center"/>
      <protection hidden="1"/>
    </xf>
    <xf numFmtId="0" fontId="31" fillId="2" borderId="31" xfId="0" applyFont="1" applyFill="1" applyBorder="1" applyAlignment="1" applyProtection="1">
      <alignment horizontal="center" vertical="center"/>
      <protection hidden="1"/>
    </xf>
    <xf numFmtId="0" fontId="4" fillId="2" borderId="71" xfId="0" applyFont="1" applyFill="1" applyBorder="1" applyAlignment="1" applyProtection="1">
      <alignment horizontal="center" vertical="center"/>
      <protection hidden="1"/>
    </xf>
    <xf numFmtId="0" fontId="4" fillId="2" borderId="72" xfId="0" applyFont="1" applyFill="1" applyBorder="1" applyAlignment="1" applyProtection="1">
      <alignment horizontal="center" vertical="center"/>
      <protection hidden="1"/>
    </xf>
    <xf numFmtId="0" fontId="4" fillId="2" borderId="73" xfId="0" applyFont="1" applyFill="1" applyBorder="1" applyAlignment="1" applyProtection="1">
      <alignment horizontal="center" vertical="center"/>
      <protection hidden="1"/>
    </xf>
    <xf numFmtId="0" fontId="4" fillId="2" borderId="8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86" xfId="0" applyFont="1" applyFill="1" applyBorder="1" applyAlignment="1" applyProtection="1">
      <alignment horizontal="center" vertical="center"/>
      <protection hidden="1"/>
    </xf>
    <xf numFmtId="0" fontId="3" fillId="2" borderId="90" xfId="0" applyFont="1" applyFill="1" applyBorder="1" applyAlignment="1" applyProtection="1">
      <alignment horizontal="center" vertical="center"/>
      <protection hidden="1"/>
    </xf>
    <xf numFmtId="0" fontId="3" fillId="2" borderId="92" xfId="0" applyFont="1" applyFill="1" applyBorder="1" applyAlignment="1" applyProtection="1">
      <alignment horizontal="center" vertical="center"/>
      <protection hidden="1"/>
    </xf>
    <xf numFmtId="0" fontId="3" fillId="19" borderId="0" xfId="0" applyFont="1" applyFill="1" applyBorder="1" applyAlignment="1" applyProtection="1">
      <alignment horizontal="center" vertical="center"/>
      <protection hidden="1"/>
    </xf>
    <xf numFmtId="0" fontId="3" fillId="19" borderId="26" xfId="0" applyFont="1" applyFill="1" applyBorder="1" applyAlignment="1" applyProtection="1">
      <alignment horizontal="center" vertical="center"/>
      <protection hidden="1"/>
    </xf>
    <xf numFmtId="0" fontId="3" fillId="19" borderId="18" xfId="0" applyFont="1" applyFill="1" applyBorder="1" applyAlignment="1" applyProtection="1">
      <alignment horizontal="center" vertical="center"/>
      <protection hidden="1"/>
    </xf>
    <xf numFmtId="0" fontId="7" fillId="2" borderId="43" xfId="0" applyFont="1" applyFill="1" applyBorder="1" applyAlignment="1" applyProtection="1">
      <alignment horizontal="center" vertical="center" shrinkToFit="1"/>
      <protection locked="0" hidden="1"/>
    </xf>
    <xf numFmtId="0" fontId="7" fillId="2" borderId="57" xfId="0" applyFont="1" applyFill="1" applyBorder="1" applyAlignment="1" applyProtection="1">
      <alignment horizontal="center" vertical="center" shrinkToFit="1"/>
      <protection locked="0" hidden="1"/>
    </xf>
    <xf numFmtId="0" fontId="23" fillId="0" borderId="0" xfId="0" applyFont="1" applyFill="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9" fillId="2" borderId="68"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protection hidden="1"/>
    </xf>
    <xf numFmtId="0" fontId="9" fillId="2" borderId="69" xfId="0" applyFont="1" applyFill="1" applyBorder="1" applyAlignment="1" applyProtection="1">
      <alignment horizontal="center" vertical="center"/>
      <protection hidden="1"/>
    </xf>
    <xf numFmtId="0" fontId="9" fillId="2" borderId="87" xfId="0" applyFont="1" applyFill="1" applyBorder="1" applyAlignment="1" applyProtection="1">
      <alignment horizontal="center" vertical="center"/>
      <protection hidden="1"/>
    </xf>
    <xf numFmtId="0" fontId="3" fillId="2" borderId="87" xfId="0" applyFont="1" applyFill="1" applyBorder="1" applyAlignment="1" applyProtection="1">
      <alignment horizontal="center" vertical="center"/>
      <protection hidden="1"/>
    </xf>
    <xf numFmtId="0" fontId="3" fillId="2" borderId="84" xfId="0" applyFont="1" applyFill="1" applyBorder="1" applyAlignment="1" applyProtection="1">
      <alignment horizontal="center" vertical="center"/>
      <protection hidden="1"/>
    </xf>
    <xf numFmtId="0" fontId="3" fillId="2" borderId="20" xfId="0" quotePrefix="1" applyFont="1" applyFill="1" applyBorder="1" applyAlignment="1" applyProtection="1">
      <alignment horizontal="center" vertical="center"/>
      <protection hidden="1"/>
    </xf>
    <xf numFmtId="0" fontId="3" fillId="28" borderId="48" xfId="0" applyFont="1" applyFill="1" applyBorder="1" applyAlignment="1" applyProtection="1">
      <alignment horizontal="center" vertical="center"/>
      <protection hidden="1"/>
    </xf>
    <xf numFmtId="0" fontId="3" fillId="28" borderId="51" xfId="0" applyFont="1" applyFill="1" applyBorder="1" applyAlignment="1" applyProtection="1">
      <alignment horizontal="center" vertical="center"/>
      <protection hidden="1"/>
    </xf>
    <xf numFmtId="0" fontId="3" fillId="21" borderId="48" xfId="0" applyFont="1" applyFill="1" applyBorder="1" applyAlignment="1" applyProtection="1">
      <alignment horizontal="center" vertical="center"/>
      <protection hidden="1"/>
    </xf>
    <xf numFmtId="0" fontId="3" fillId="21" borderId="51" xfId="0" applyFont="1" applyFill="1" applyBorder="1" applyAlignment="1" applyProtection="1">
      <alignment horizontal="center" vertical="center"/>
      <protection hidden="1"/>
    </xf>
    <xf numFmtId="0" fontId="3" fillId="21" borderId="36" xfId="0" applyFont="1" applyFill="1" applyBorder="1" applyAlignment="1" applyProtection="1">
      <alignment horizontal="center" vertical="center"/>
      <protection hidden="1"/>
    </xf>
    <xf numFmtId="0" fontId="8" fillId="0" borderId="42" xfId="0" applyFont="1" applyFill="1" applyBorder="1" applyAlignment="1" applyProtection="1">
      <alignment horizontal="center" vertical="center"/>
      <protection locked="0" hidden="1"/>
    </xf>
    <xf numFmtId="0" fontId="14" fillId="0" borderId="0" xfId="0" applyFont="1" applyFill="1" applyBorder="1" applyAlignment="1" applyProtection="1">
      <alignment horizontal="center" vertical="center"/>
      <protection hidden="1"/>
    </xf>
    <xf numFmtId="0" fontId="13" fillId="30" borderId="25" xfId="0" applyFont="1" applyFill="1" applyBorder="1" applyAlignment="1" applyProtection="1">
      <alignment horizontal="center" vertical="center"/>
      <protection hidden="1"/>
    </xf>
    <xf numFmtId="0" fontId="13" fillId="30" borderId="49" xfId="0" applyFont="1" applyFill="1" applyBorder="1" applyAlignment="1" applyProtection="1">
      <alignment horizontal="center" vertical="center"/>
      <protection hidden="1"/>
    </xf>
    <xf numFmtId="0" fontId="14" fillId="30" borderId="0" xfId="0" applyFont="1" applyFill="1" applyBorder="1" applyAlignment="1" applyProtection="1">
      <alignment horizontal="center" vertical="center" wrapText="1"/>
      <protection hidden="1"/>
    </xf>
    <xf numFmtId="0" fontId="14" fillId="30" borderId="0" xfId="0" applyFont="1" applyFill="1" applyBorder="1" applyAlignment="1" applyProtection="1">
      <alignment horizontal="center" vertical="center"/>
      <protection hidden="1"/>
    </xf>
    <xf numFmtId="0" fontId="14" fillId="30" borderId="0" xfId="0" quotePrefix="1" applyFont="1" applyFill="1" applyBorder="1" applyAlignment="1" applyProtection="1">
      <alignment horizontal="center" vertical="center"/>
      <protection hidden="1"/>
    </xf>
    <xf numFmtId="0" fontId="14" fillId="0" borderId="26" xfId="0" applyFont="1" applyFill="1" applyBorder="1" applyAlignment="1" applyProtection="1">
      <alignment horizontal="left" vertical="center"/>
      <protection hidden="1"/>
    </xf>
    <xf numFmtId="0" fontId="22" fillId="2" borderId="28" xfId="0" applyFont="1" applyFill="1" applyBorder="1" applyProtection="1">
      <protection hidden="1"/>
    </xf>
    <xf numFmtId="0" fontId="22" fillId="2" borderId="29" xfId="0" applyFont="1" applyFill="1" applyBorder="1" applyProtection="1">
      <protection hidden="1"/>
    </xf>
    <xf numFmtId="0" fontId="22" fillId="2" borderId="0" xfId="0" applyFont="1" applyFill="1" applyBorder="1" applyProtection="1">
      <protection hidden="1"/>
    </xf>
    <xf numFmtId="0" fontId="22" fillId="2" borderId="0" xfId="0" applyFont="1" applyFill="1" applyBorder="1" applyAlignment="1" applyProtection="1">
      <alignment horizontal="center"/>
      <protection hidden="1"/>
    </xf>
    <xf numFmtId="0" fontId="22" fillId="2" borderId="31" xfId="0" applyFont="1" applyFill="1" applyBorder="1" applyProtection="1">
      <protection hidden="1"/>
    </xf>
    <xf numFmtId="0" fontId="27" fillId="2" borderId="36" xfId="0" applyFont="1" applyFill="1" applyBorder="1" applyAlignment="1" applyProtection="1">
      <alignment horizontal="center"/>
      <protection hidden="1"/>
    </xf>
    <xf numFmtId="0" fontId="1" fillId="22" borderId="42" xfId="3" applyFont="1" applyFill="1" applyBorder="1" applyAlignment="1" applyProtection="1">
      <alignment horizontal="center"/>
      <protection hidden="1"/>
    </xf>
    <xf numFmtId="0" fontId="3" fillId="2" borderId="8" xfId="0" applyFont="1" applyFill="1" applyBorder="1" applyAlignment="1" applyProtection="1">
      <alignment horizontal="left" vertical="center"/>
      <protection hidden="1"/>
    </xf>
    <xf numFmtId="0" fontId="22" fillId="2" borderId="28" xfId="0" applyFont="1" applyFill="1" applyBorder="1" applyAlignment="1" applyProtection="1">
      <alignment vertical="center"/>
      <protection hidden="1"/>
    </xf>
    <xf numFmtId="0" fontId="22" fillId="2" borderId="29" xfId="0" applyFont="1" applyFill="1" applyBorder="1" applyAlignment="1" applyProtection="1">
      <alignment vertical="center"/>
      <protection hidden="1"/>
    </xf>
    <xf numFmtId="0" fontId="22" fillId="2" borderId="0" xfId="0" applyFont="1" applyFill="1" applyBorder="1" applyAlignment="1" applyProtection="1">
      <alignment vertical="center"/>
      <protection hidden="1"/>
    </xf>
    <xf numFmtId="0" fontId="22" fillId="2" borderId="31" xfId="0" applyFont="1" applyFill="1" applyBorder="1" applyAlignment="1" applyProtection="1">
      <alignment vertical="center"/>
      <protection hidden="1"/>
    </xf>
    <xf numFmtId="0" fontId="21" fillId="2" borderId="0" xfId="0" applyFont="1" applyFill="1" applyBorder="1" applyAlignment="1" applyProtection="1">
      <alignment vertical="center"/>
      <protection hidden="1"/>
    </xf>
    <xf numFmtId="0" fontId="21" fillId="2" borderId="60" xfId="0" applyFont="1" applyFill="1" applyBorder="1" applyAlignment="1" applyProtection="1">
      <alignment vertical="center" shrinkToFit="1"/>
      <protection hidden="1"/>
    </xf>
    <xf numFmtId="0" fontId="21" fillId="2" borderId="25" xfId="0" applyFont="1" applyFill="1" applyBorder="1" applyAlignment="1" applyProtection="1">
      <alignment vertical="center" shrinkToFit="1"/>
      <protection hidden="1"/>
    </xf>
    <xf numFmtId="0" fontId="36" fillId="2" borderId="42" xfId="0" applyFont="1" applyFill="1" applyBorder="1" applyAlignment="1" applyProtection="1">
      <alignment horizontal="center" vertical="center" shrinkToFit="1"/>
      <protection hidden="1"/>
    </xf>
    <xf numFmtId="0" fontId="8" fillId="6" borderId="20" xfId="2" applyFont="1" applyFill="1" applyBorder="1" applyAlignment="1" applyProtection="1">
      <alignment horizontal="center" vertical="center"/>
      <protection hidden="1"/>
    </xf>
    <xf numFmtId="0" fontId="1" fillId="6" borderId="18" xfId="0" applyFont="1" applyFill="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8" fillId="6" borderId="18"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8" fillId="6" borderId="0"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6" borderId="20" xfId="0" applyFont="1" applyFill="1" applyBorder="1" applyAlignment="1" applyProtection="1">
      <alignment horizontal="center" vertical="center"/>
      <protection locked="0" hidden="1"/>
    </xf>
    <xf numFmtId="0" fontId="8" fillId="6" borderId="20"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2" borderId="0" xfId="0" applyFont="1" applyFill="1" applyAlignment="1" applyProtection="1">
      <alignment vertical="center"/>
      <protection hidden="1"/>
    </xf>
    <xf numFmtId="0" fontId="22" fillId="2" borderId="30" xfId="0" applyFont="1" applyFill="1" applyBorder="1" applyAlignment="1" applyProtection="1">
      <alignment vertical="center"/>
      <protection hidden="1"/>
    </xf>
    <xf numFmtId="0" fontId="22" fillId="2" borderId="45" xfId="0" applyFont="1" applyFill="1" applyBorder="1" applyAlignment="1" applyProtection="1">
      <alignment vertical="center"/>
      <protection hidden="1"/>
    </xf>
    <xf numFmtId="0" fontId="22" fillId="2" borderId="18" xfId="0" applyFont="1" applyFill="1" applyBorder="1" applyAlignment="1" applyProtection="1">
      <alignment vertical="center"/>
      <protection hidden="1"/>
    </xf>
    <xf numFmtId="0" fontId="27" fillId="2" borderId="42" xfId="0" applyFont="1" applyFill="1" applyBorder="1" applyAlignment="1" applyProtection="1">
      <alignment horizontal="center" vertical="center"/>
      <protection hidden="1"/>
    </xf>
    <xf numFmtId="0" fontId="27" fillId="2" borderId="43" xfId="0" applyFont="1" applyFill="1" applyBorder="1" applyAlignment="1" applyProtection="1">
      <alignment horizontal="center" vertical="center" shrinkToFit="1"/>
      <protection hidden="1"/>
    </xf>
    <xf numFmtId="0" fontId="4" fillId="2" borderId="53" xfId="0" applyFont="1" applyFill="1" applyBorder="1" applyAlignment="1" applyProtection="1">
      <alignment vertical="center"/>
      <protection hidden="1"/>
    </xf>
    <xf numFmtId="0" fontId="1" fillId="6" borderId="36" xfId="0" applyFont="1" applyFill="1" applyBorder="1" applyAlignment="1" applyProtection="1">
      <alignment horizontal="center" vertical="center"/>
      <protection locked="0" hidden="1"/>
    </xf>
    <xf numFmtId="0" fontId="1" fillId="0" borderId="41" xfId="0" applyFont="1" applyBorder="1" applyAlignment="1" applyProtection="1">
      <alignment horizontal="center" vertical="center"/>
      <protection hidden="1"/>
    </xf>
    <xf numFmtId="0" fontId="1" fillId="6" borderId="43" xfId="0" applyFont="1" applyFill="1" applyBorder="1" applyAlignment="1" applyProtection="1">
      <alignment horizontal="center" vertical="center"/>
      <protection locked="0" hidden="1"/>
    </xf>
    <xf numFmtId="0" fontId="1" fillId="2" borderId="60" xfId="0" applyFont="1" applyFill="1" applyBorder="1" applyAlignment="1" applyProtection="1">
      <alignment vertical="center"/>
      <protection hidden="1"/>
    </xf>
    <xf numFmtId="0" fontId="1" fillId="2" borderId="25" xfId="0" applyFont="1" applyFill="1" applyBorder="1" applyAlignment="1" applyProtection="1">
      <alignment vertical="center"/>
      <protection hidden="1"/>
    </xf>
    <xf numFmtId="0" fontId="1" fillId="22" borderId="40" xfId="0" applyFont="1" applyFill="1" applyBorder="1" applyAlignment="1" applyProtection="1">
      <alignment horizontal="center" vertical="center"/>
      <protection hidden="1"/>
    </xf>
    <xf numFmtId="0" fontId="1" fillId="22" borderId="58" xfId="0" applyFont="1" applyFill="1" applyBorder="1" applyAlignment="1" applyProtection="1">
      <alignment horizontal="center" vertical="center"/>
      <protection hidden="1"/>
    </xf>
    <xf numFmtId="0" fontId="1" fillId="2" borderId="45" xfId="0" applyFont="1" applyFill="1" applyBorder="1" applyAlignment="1" applyProtection="1">
      <alignment vertical="center"/>
      <protection hidden="1"/>
    </xf>
    <xf numFmtId="0" fontId="27" fillId="2" borderId="18" xfId="0" applyFont="1" applyFill="1" applyBorder="1" applyAlignment="1" applyProtection="1">
      <alignment vertical="center"/>
      <protection hidden="1"/>
    </xf>
    <xf numFmtId="0" fontId="27" fillId="0" borderId="36" xfId="0" applyFont="1" applyBorder="1" applyAlignment="1" applyProtection="1">
      <alignment horizontal="center" vertical="center"/>
      <protection hidden="1"/>
    </xf>
    <xf numFmtId="0" fontId="27" fillId="0" borderId="63" xfId="0" applyFont="1" applyBorder="1" applyAlignment="1" applyProtection="1">
      <alignment horizontal="center" vertical="center" shrinkToFit="1"/>
      <protection hidden="1"/>
    </xf>
    <xf numFmtId="0" fontId="4" fillId="2" borderId="45" xfId="0" applyFont="1" applyFill="1" applyBorder="1" applyAlignment="1" applyProtection="1">
      <alignment vertical="center"/>
      <protection hidden="1"/>
    </xf>
    <xf numFmtId="0" fontId="1" fillId="6" borderId="63" xfId="0" applyFont="1" applyFill="1" applyBorder="1" applyAlignment="1" applyProtection="1">
      <alignment horizontal="center" vertical="center"/>
      <protection locked="0" hidden="1"/>
    </xf>
    <xf numFmtId="0" fontId="27" fillId="2" borderId="0" xfId="0" applyFont="1" applyFill="1" applyBorder="1" applyAlignment="1" applyProtection="1">
      <alignment vertical="center"/>
      <protection hidden="1"/>
    </xf>
    <xf numFmtId="0" fontId="41" fillId="2" borderId="18" xfId="0" applyFont="1" applyFill="1" applyBorder="1" applyAlignment="1" applyProtection="1">
      <alignment vertical="center"/>
      <protection hidden="1"/>
    </xf>
    <xf numFmtId="0" fontId="9" fillId="2" borderId="18" xfId="0" applyFont="1" applyFill="1" applyBorder="1" applyAlignment="1" applyProtection="1">
      <alignment vertical="center"/>
      <protection hidden="1"/>
    </xf>
    <xf numFmtId="0" fontId="22" fillId="2" borderId="18" xfId="0" applyFont="1" applyFill="1" applyBorder="1" applyAlignment="1" applyProtection="1">
      <alignment horizontal="right" vertical="center"/>
      <protection hidden="1"/>
    </xf>
    <xf numFmtId="0" fontId="22" fillId="2" borderId="38" xfId="0" applyFont="1" applyFill="1" applyBorder="1" applyAlignment="1" applyProtection="1">
      <alignment vertical="center"/>
      <protection hidden="1"/>
    </xf>
    <xf numFmtId="0" fontId="22" fillId="2" borderId="20" xfId="0" applyFont="1" applyFill="1" applyBorder="1" applyAlignment="1" applyProtection="1">
      <alignment vertical="center"/>
      <protection hidden="1"/>
    </xf>
    <xf numFmtId="0" fontId="22" fillId="2" borderId="0" xfId="0" applyFont="1" applyFill="1" applyAlignment="1" applyProtection="1">
      <alignment vertical="center"/>
      <protection hidden="1"/>
    </xf>
    <xf numFmtId="0" fontId="1" fillId="2" borderId="46" xfId="0" applyFont="1" applyFill="1" applyBorder="1" applyAlignment="1" applyProtection="1">
      <alignment horizontal="center" vertical="center"/>
      <protection hidden="1"/>
    </xf>
    <xf numFmtId="0" fontId="22" fillId="2" borderId="33" xfId="0" applyFont="1" applyFill="1" applyBorder="1" applyAlignment="1" applyProtection="1">
      <alignment vertical="center"/>
      <protection hidden="1"/>
    </xf>
    <xf numFmtId="0" fontId="22" fillId="2" borderId="34" xfId="0" applyFont="1" applyFill="1" applyBorder="1" applyAlignment="1" applyProtection="1">
      <alignment vertical="center"/>
      <protection hidden="1"/>
    </xf>
    <xf numFmtId="0" fontId="0" fillId="31" borderId="48" xfId="0" applyFill="1" applyBorder="1" applyProtection="1">
      <protection hidden="1"/>
    </xf>
    <xf numFmtId="0" fontId="0" fillId="31" borderId="51" xfId="0" applyFill="1" applyBorder="1" applyProtection="1">
      <protection hidden="1"/>
    </xf>
    <xf numFmtId="0" fontId="0" fillId="31" borderId="36" xfId="0" applyFill="1" applyBorder="1" applyProtection="1">
      <protection hidden="1"/>
    </xf>
    <xf numFmtId="0" fontId="14" fillId="25" borderId="48" xfId="0" applyFont="1" applyFill="1" applyBorder="1" applyProtection="1">
      <protection hidden="1"/>
    </xf>
    <xf numFmtId="0" fontId="3" fillId="25" borderId="51" xfId="0" applyFont="1" applyFill="1" applyBorder="1" applyProtection="1">
      <protection hidden="1"/>
    </xf>
    <xf numFmtId="0" fontId="14" fillId="25" borderId="51" xfId="0" applyFont="1" applyFill="1" applyBorder="1" applyProtection="1">
      <protection hidden="1"/>
    </xf>
    <xf numFmtId="0" fontId="14" fillId="25" borderId="36" xfId="0" applyFont="1" applyFill="1" applyBorder="1" applyProtection="1">
      <protection hidden="1"/>
    </xf>
    <xf numFmtId="0" fontId="8" fillId="2" borderId="28" xfId="0" applyFont="1" applyFill="1" applyBorder="1" applyAlignment="1" applyProtection="1">
      <alignment vertical="center"/>
      <protection hidden="1"/>
    </xf>
    <xf numFmtId="0" fontId="23" fillId="2" borderId="29" xfId="0" applyFont="1" applyFill="1" applyBorder="1" applyAlignment="1" applyProtection="1">
      <alignment horizontal="center" vertical="center"/>
      <protection hidden="1"/>
    </xf>
    <xf numFmtId="0" fontId="23" fillId="2" borderId="31" xfId="0" applyFont="1" applyFill="1" applyBorder="1" applyAlignment="1" applyProtection="1">
      <alignment horizontal="center" vertical="center"/>
      <protection hidden="1"/>
    </xf>
    <xf numFmtId="0" fontId="39" fillId="2" borderId="32" xfId="0" applyFont="1" applyFill="1" applyBorder="1" applyAlignment="1" applyProtection="1">
      <alignment vertical="center"/>
      <protection hidden="1"/>
    </xf>
    <xf numFmtId="0" fontId="39" fillId="2" borderId="33" xfId="0" applyFont="1" applyFill="1" applyBorder="1" applyAlignment="1" applyProtection="1">
      <alignment vertical="center"/>
      <protection hidden="1"/>
    </xf>
    <xf numFmtId="0" fontId="39" fillId="2" borderId="33" xfId="0" applyFont="1" applyFill="1" applyBorder="1" applyAlignment="1" applyProtection="1">
      <alignment vertical="center" shrinkToFit="1"/>
      <protection hidden="1"/>
    </xf>
    <xf numFmtId="0" fontId="1" fillId="2" borderId="46" xfId="0" applyFont="1" applyFill="1" applyBorder="1" applyAlignment="1" applyProtection="1">
      <alignment vertical="center"/>
      <protection hidden="1"/>
    </xf>
    <xf numFmtId="1" fontId="1" fillId="2" borderId="28" xfId="0" applyNumberFormat="1" applyFont="1" applyFill="1" applyBorder="1" applyAlignment="1" applyProtection="1">
      <alignment vertical="center"/>
      <protection hidden="1"/>
    </xf>
    <xf numFmtId="0" fontId="1" fillId="2" borderId="28" xfId="0" applyFont="1" applyFill="1" applyBorder="1" applyAlignment="1" applyProtection="1">
      <alignment horizontal="center" vertical="center" wrapText="1"/>
      <protection hidden="1"/>
    </xf>
    <xf numFmtId="0" fontId="23" fillId="2" borderId="29" xfId="0" applyFont="1" applyFill="1" applyBorder="1" applyAlignment="1" applyProtection="1">
      <alignment horizontal="left" vertical="center"/>
      <protection hidden="1"/>
    </xf>
    <xf numFmtId="0" fontId="23" fillId="2" borderId="31" xfId="0" applyFont="1" applyFill="1" applyBorder="1" applyAlignment="1" applyProtection="1">
      <alignment horizontal="left" vertical="center"/>
      <protection hidden="1"/>
    </xf>
    <xf numFmtId="0" fontId="3" fillId="2" borderId="32" xfId="0" applyFont="1" applyFill="1" applyBorder="1" applyAlignment="1" applyProtection="1">
      <alignment vertical="center"/>
      <protection hidden="1"/>
    </xf>
    <xf numFmtId="0" fontId="3" fillId="2" borderId="33" xfId="0" applyFont="1" applyFill="1" applyBorder="1" applyAlignment="1" applyProtection="1">
      <alignment vertical="center"/>
      <protection hidden="1"/>
    </xf>
    <xf numFmtId="0" fontId="3" fillId="2" borderId="3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8" fillId="2" borderId="48" xfId="1" applyFont="1" applyFill="1" applyBorder="1" applyAlignment="1" applyProtection="1">
      <alignment horizontal="center" vertical="center"/>
      <protection locked="0" hidden="1"/>
    </xf>
    <xf numFmtId="0" fontId="21" fillId="21" borderId="48" xfId="0" applyFont="1" applyFill="1" applyBorder="1" applyAlignment="1" applyProtection="1">
      <alignment horizontal="center" vertical="center"/>
      <protection hidden="1"/>
    </xf>
    <xf numFmtId="0" fontId="8" fillId="2" borderId="73" xfId="0" applyFont="1" applyFill="1" applyBorder="1" applyAlignment="1" applyProtection="1">
      <alignment horizontal="center" vertical="center"/>
      <protection hidden="1"/>
    </xf>
    <xf numFmtId="0" fontId="1" fillId="2" borderId="95" xfId="0" applyFont="1" applyFill="1" applyBorder="1" applyAlignment="1" applyProtection="1">
      <alignment horizontal="center" vertical="center"/>
      <protection hidden="1"/>
    </xf>
    <xf numFmtId="9" fontId="1" fillId="22" borderId="31" xfId="0" applyNumberFormat="1" applyFont="1" applyFill="1" applyBorder="1" applyAlignment="1" applyProtection="1">
      <alignment horizontal="center" vertical="center"/>
      <protection hidden="1"/>
    </xf>
    <xf numFmtId="0" fontId="2" fillId="2" borderId="31" xfId="0" applyFont="1" applyFill="1" applyBorder="1" applyAlignment="1" applyProtection="1">
      <alignment vertical="center"/>
      <protection hidden="1"/>
    </xf>
    <xf numFmtId="0" fontId="3" fillId="0" borderId="0" xfId="0" applyFont="1" applyAlignment="1" applyProtection="1">
      <alignment horizontal="left" vertical="center"/>
      <protection hidden="1"/>
    </xf>
    <xf numFmtId="0" fontId="14" fillId="18" borderId="0" xfId="0" applyFont="1" applyFill="1" applyBorder="1" applyAlignment="1" applyProtection="1">
      <alignment horizontal="center" vertical="center"/>
      <protection hidden="1"/>
    </xf>
    <xf numFmtId="0" fontId="16" fillId="17" borderId="0" xfId="0" applyFont="1" applyFill="1" applyBorder="1" applyProtection="1">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vertical="center"/>
      <protection hidden="1"/>
    </xf>
    <xf numFmtId="0" fontId="31" fillId="2" borderId="87" xfId="0" applyFont="1" applyFill="1" applyBorder="1" applyAlignment="1" applyProtection="1">
      <alignment horizontal="left" vertical="center"/>
      <protection hidden="1"/>
    </xf>
    <xf numFmtId="0" fontId="31" fillId="2" borderId="1"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hidden="1"/>
    </xf>
    <xf numFmtId="0" fontId="31" fillId="2" borderId="6" xfId="0" applyFont="1" applyFill="1" applyBorder="1" applyAlignment="1" applyProtection="1">
      <alignment horizontal="center" vertical="center"/>
      <protection hidden="1"/>
    </xf>
    <xf numFmtId="0" fontId="3" fillId="2" borderId="36" xfId="0" applyFont="1" applyFill="1" applyBorder="1" applyAlignment="1" applyProtection="1">
      <alignment horizontal="left" vertical="center"/>
      <protection hidden="1"/>
    </xf>
    <xf numFmtId="0" fontId="3" fillId="2" borderId="42" xfId="0" applyFont="1" applyFill="1" applyBorder="1" applyAlignment="1" applyProtection="1">
      <alignment horizontal="left" vertical="center"/>
      <protection locked="0" hidden="1"/>
    </xf>
    <xf numFmtId="0" fontId="31" fillId="2" borderId="42"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locked="0" hidden="1"/>
    </xf>
    <xf numFmtId="0" fontId="0" fillId="0" borderId="0" xfId="0" applyProtection="1">
      <protection hidden="1"/>
    </xf>
    <xf numFmtId="0" fontId="46" fillId="0" borderId="0" xfId="0" applyFont="1" applyProtection="1">
      <protection hidden="1"/>
    </xf>
    <xf numFmtId="0" fontId="2" fillId="0" borderId="35" xfId="0" applyFont="1" applyBorder="1" applyAlignment="1" applyProtection="1">
      <alignment vertical="center" shrinkToFit="1"/>
      <protection hidden="1"/>
    </xf>
    <xf numFmtId="0" fontId="7" fillId="32" borderId="35" xfId="0" applyFont="1" applyFill="1" applyBorder="1" applyAlignment="1" applyProtection="1">
      <alignment vertical="center" wrapText="1"/>
      <protection hidden="1"/>
    </xf>
    <xf numFmtId="0" fontId="7" fillId="32" borderId="35" xfId="0" applyFont="1" applyFill="1" applyBorder="1" applyAlignment="1" applyProtection="1">
      <alignment vertical="center"/>
      <protection hidden="1"/>
    </xf>
    <xf numFmtId="0" fontId="49" fillId="32" borderId="35" xfId="0" applyFont="1" applyFill="1" applyBorder="1" applyAlignment="1" applyProtection="1">
      <alignment horizontal="left" vertical="center" wrapText="1"/>
      <protection hidden="1"/>
    </xf>
    <xf numFmtId="0" fontId="14" fillId="2" borderId="35" xfId="0" applyFont="1" applyFill="1" applyBorder="1" applyAlignment="1" applyProtection="1">
      <alignment horizontal="left" vertical="center" wrapText="1"/>
      <protection hidden="1"/>
    </xf>
    <xf numFmtId="0" fontId="7" fillId="32" borderId="35" xfId="0" applyFont="1" applyFill="1" applyBorder="1" applyAlignment="1" applyProtection="1">
      <alignment horizontal="left" vertical="center" wrapText="1"/>
      <protection hidden="1"/>
    </xf>
    <xf numFmtId="0" fontId="0" fillId="0" borderId="0" xfId="0" applyFill="1" applyBorder="1" applyProtection="1">
      <protection hidden="1"/>
    </xf>
    <xf numFmtId="0" fontId="50" fillId="32" borderId="52" xfId="0" applyFont="1" applyFill="1" applyBorder="1" applyProtection="1">
      <protection hidden="1"/>
    </xf>
    <xf numFmtId="0" fontId="7" fillId="0" borderId="0" xfId="0" applyFont="1" applyAlignment="1" applyProtection="1">
      <alignment vertical="center"/>
      <protection hidden="1"/>
    </xf>
    <xf numFmtId="0" fontId="7" fillId="0" borderId="0" xfId="0" applyFont="1" applyFill="1" applyBorder="1" applyAlignment="1" applyProtection="1">
      <alignment vertical="center"/>
      <protection hidden="1"/>
    </xf>
    <xf numFmtId="0" fontId="51" fillId="0" borderId="25" xfId="0" applyFont="1" applyFill="1" applyBorder="1" applyAlignment="1" applyProtection="1">
      <protection hidden="1"/>
    </xf>
    <xf numFmtId="0" fontId="0" fillId="0" borderId="0" xfId="0" applyFill="1" applyBorder="1" applyAlignment="1" applyProtection="1">
      <protection hidden="1"/>
    </xf>
    <xf numFmtId="0" fontId="52"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53" fillId="0" borderId="0" xfId="0" applyFont="1" applyFill="1" applyBorder="1" applyAlignment="1" applyProtection="1">
      <alignment wrapText="1"/>
      <protection hidden="1"/>
    </xf>
    <xf numFmtId="0" fontId="14" fillId="0" borderId="0" xfId="0" applyFont="1" applyFill="1" applyBorder="1" applyAlignment="1" applyProtection="1">
      <alignment wrapText="1"/>
      <protection hidden="1"/>
    </xf>
    <xf numFmtId="0" fontId="7" fillId="0" borderId="0" xfId="0" applyFont="1" applyAlignment="1" applyProtection="1">
      <alignment vertical="center" wrapText="1"/>
      <protection hidden="1"/>
    </xf>
    <xf numFmtId="0" fontId="53" fillId="0" borderId="0" xfId="0" applyFont="1" applyFill="1" applyBorder="1" applyProtection="1">
      <protection hidden="1"/>
    </xf>
    <xf numFmtId="0" fontId="0" fillId="0" borderId="0" xfId="0" applyFill="1" applyProtection="1">
      <protection hidden="1"/>
    </xf>
    <xf numFmtId="0" fontId="1" fillId="22" borderId="36" xfId="0" applyFont="1" applyFill="1" applyBorder="1" applyAlignment="1" applyProtection="1">
      <alignment horizontal="center" vertical="center"/>
      <protection hidden="1"/>
    </xf>
    <xf numFmtId="0" fontId="4" fillId="2" borderId="70" xfId="0" applyFont="1" applyFill="1" applyBorder="1" applyAlignment="1" applyProtection="1">
      <alignment horizontal="center" vertical="center"/>
      <protection hidden="1"/>
    </xf>
    <xf numFmtId="0" fontId="1" fillId="22" borderId="18" xfId="0" applyFont="1" applyFill="1" applyBorder="1" applyAlignment="1" applyProtection="1">
      <alignment horizontal="center" vertical="center"/>
      <protection hidden="1"/>
    </xf>
    <xf numFmtId="0" fontId="13" fillId="0" borderId="0" xfId="0" applyFont="1" applyAlignment="1" applyProtection="1">
      <alignment horizontal="left" vertical="center" shrinkToFit="1"/>
      <protection hidden="1"/>
    </xf>
    <xf numFmtId="0" fontId="50" fillId="0" borderId="0" xfId="0" quotePrefix="1" applyFont="1" applyAlignment="1" applyProtection="1">
      <alignment horizontal="left" vertical="center" shrinkToFit="1"/>
      <protection hidden="1"/>
    </xf>
    <xf numFmtId="0" fontId="14" fillId="0" borderId="0" xfId="0" applyFont="1" applyAlignment="1" applyProtection="1">
      <alignment horizontal="left" vertical="center" shrinkToFit="1"/>
      <protection hidden="1"/>
    </xf>
    <xf numFmtId="0" fontId="14" fillId="0" borderId="0" xfId="0" applyFont="1" applyBorder="1" applyAlignment="1" applyProtection="1">
      <alignment horizontal="left" vertical="center" shrinkToFit="1"/>
      <protection hidden="1"/>
    </xf>
    <xf numFmtId="0" fontId="14" fillId="0" borderId="0" xfId="0" quotePrefix="1" applyFont="1" applyAlignment="1" applyProtection="1">
      <alignment horizontal="left" vertical="center" shrinkToFit="1"/>
      <protection hidden="1"/>
    </xf>
    <xf numFmtId="0" fontId="14" fillId="0" borderId="0" xfId="0" applyFont="1" applyFill="1" applyBorder="1" applyAlignment="1" applyProtection="1">
      <alignment horizontal="left" vertical="center" shrinkToFit="1"/>
      <protection hidden="1"/>
    </xf>
    <xf numFmtId="0" fontId="9" fillId="2" borderId="30"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8" fillId="2" borderId="29" xfId="0" applyFont="1" applyFill="1" applyBorder="1" applyAlignment="1" applyProtection="1">
      <alignment vertical="center"/>
      <protection hidden="1"/>
    </xf>
    <xf numFmtId="0" fontId="28" fillId="2" borderId="31" xfId="0" applyFont="1" applyFill="1" applyBorder="1" applyAlignment="1" applyProtection="1">
      <alignment vertical="center"/>
      <protection hidden="1"/>
    </xf>
    <xf numFmtId="0" fontId="9" fillId="2" borderId="45" xfId="0" applyFont="1" applyFill="1" applyBorder="1" applyAlignment="1" applyProtection="1">
      <alignment horizontal="left" vertical="center"/>
      <protection hidden="1"/>
    </xf>
    <xf numFmtId="0" fontId="1" fillId="2" borderId="20" xfId="0" applyFont="1" applyFill="1" applyBorder="1" applyAlignment="1" applyProtection="1">
      <alignment horizontal="left" vertical="center"/>
      <protection hidden="1"/>
    </xf>
    <xf numFmtId="0" fontId="1" fillId="2" borderId="18" xfId="0" applyFont="1" applyFill="1" applyBorder="1" applyAlignment="1" applyProtection="1">
      <alignment horizontal="left" vertical="center"/>
      <protection hidden="1"/>
    </xf>
    <xf numFmtId="0" fontId="9" fillId="2" borderId="30" xfId="0" applyFont="1" applyFill="1" applyBorder="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1" fillId="2" borderId="30" xfId="0" applyFont="1" applyFill="1" applyBorder="1" applyAlignment="1" applyProtection="1">
      <alignment horizontal="left" vertical="center"/>
      <protection hidden="1"/>
    </xf>
    <xf numFmtId="0" fontId="1" fillId="2" borderId="0" xfId="0" applyFont="1" applyFill="1" applyBorder="1" applyAlignment="1" applyProtection="1">
      <alignment horizontal="left" vertical="center"/>
      <protection hidden="1"/>
    </xf>
    <xf numFmtId="0" fontId="9" fillId="2" borderId="37"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2" borderId="25"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9" fillId="2" borderId="36" xfId="0" applyFont="1" applyFill="1" applyBorder="1" applyAlignment="1" applyProtection="1">
      <alignment horizontal="center" vertical="center"/>
      <protection hidden="1"/>
    </xf>
    <xf numFmtId="0" fontId="9" fillId="2" borderId="52" xfId="0" applyFont="1" applyFill="1" applyBorder="1" applyAlignment="1" applyProtection="1">
      <alignment horizontal="center" vertical="center"/>
      <protection hidden="1"/>
    </xf>
    <xf numFmtId="0" fontId="4" fillId="2" borderId="43" xfId="0" applyFont="1" applyFill="1" applyBorder="1" applyAlignment="1" applyProtection="1">
      <alignment horizontal="center" vertical="center"/>
      <protection hidden="1"/>
    </xf>
    <xf numFmtId="0" fontId="1" fillId="2" borderId="55" xfId="0" applyFont="1" applyFill="1" applyBorder="1" applyAlignment="1" applyProtection="1">
      <alignment horizontal="center" vertical="center"/>
      <protection hidden="1"/>
    </xf>
    <xf numFmtId="0" fontId="1" fillId="2" borderId="41" xfId="0" applyFont="1" applyFill="1" applyBorder="1" applyAlignment="1" applyProtection="1">
      <alignment horizontal="center" vertical="center"/>
      <protection hidden="1"/>
    </xf>
    <xf numFmtId="0" fontId="1" fillId="2" borderId="42" xfId="0" applyFont="1" applyFill="1" applyBorder="1" applyAlignment="1" applyProtection="1">
      <alignment horizontal="center" vertical="center"/>
      <protection hidden="1"/>
    </xf>
    <xf numFmtId="0" fontId="27" fillId="2" borderId="0" xfId="0" applyFont="1" applyFill="1" applyBorder="1" applyAlignment="1" applyProtection="1">
      <alignment horizontal="center" vertical="center"/>
      <protection hidden="1"/>
    </xf>
    <xf numFmtId="0" fontId="1" fillId="5" borderId="20" xfId="0" applyFont="1" applyFill="1" applyBorder="1" applyAlignment="1" applyProtection="1">
      <alignment horizontal="center" vertical="center"/>
      <protection hidden="1"/>
    </xf>
    <xf numFmtId="0" fontId="3" fillId="2" borderId="91" xfId="0" applyFont="1" applyFill="1" applyBorder="1" applyAlignment="1" applyProtection="1">
      <alignment horizontal="center" vertical="center"/>
      <protection hidden="1"/>
    </xf>
    <xf numFmtId="0" fontId="3" fillId="2" borderId="75"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31" fillId="2" borderId="87"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85" xfId="0" applyFont="1" applyFill="1" applyBorder="1" applyAlignment="1" applyProtection="1">
      <alignment horizontal="center" vertical="center"/>
      <protection hidden="1"/>
    </xf>
    <xf numFmtId="0" fontId="3" fillId="2" borderId="88" xfId="0" applyFont="1" applyFill="1" applyBorder="1" applyAlignment="1" applyProtection="1">
      <alignment horizontal="center" vertical="center"/>
      <protection hidden="1"/>
    </xf>
    <xf numFmtId="0" fontId="3" fillId="2" borderId="88" xfId="0" applyFont="1" applyFill="1" applyBorder="1" applyAlignment="1" applyProtection="1">
      <alignment horizontal="left" vertical="center"/>
      <protection hidden="1"/>
    </xf>
    <xf numFmtId="0" fontId="3" fillId="2" borderId="89"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2" xfId="0" applyFont="1" applyFill="1" applyBorder="1" applyAlignment="1" applyProtection="1">
      <alignment horizontal="left" vertical="center"/>
      <protection hidden="1"/>
    </xf>
    <xf numFmtId="0" fontId="4" fillId="2" borderId="4"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3" fillId="2" borderId="26" xfId="0" applyFont="1" applyFill="1" applyBorder="1" applyAlignment="1" applyProtection="1">
      <alignment horizontal="left" vertical="center" shrinkToFit="1"/>
      <protection hidden="1"/>
    </xf>
    <xf numFmtId="0" fontId="3" fillId="0" borderId="0" xfId="0" applyFont="1" applyAlignment="1" applyProtection="1">
      <alignment vertical="center" shrinkToFit="1"/>
      <protection hidden="1"/>
    </xf>
    <xf numFmtId="0" fontId="3" fillId="2" borderId="0" xfId="0" applyFont="1" applyFill="1" applyBorder="1" applyAlignment="1" applyProtection="1">
      <alignment vertical="center" shrinkToFit="1"/>
      <protection hidden="1"/>
    </xf>
    <xf numFmtId="0" fontId="3" fillId="2" borderId="0" xfId="0" applyFont="1" applyFill="1" applyBorder="1" applyAlignment="1" applyProtection="1">
      <alignment horizontal="center" vertical="center" shrinkToFit="1"/>
      <protection hidden="1"/>
    </xf>
    <xf numFmtId="0" fontId="3" fillId="2" borderId="35" xfId="0" applyFont="1" applyFill="1" applyBorder="1" applyAlignment="1" applyProtection="1">
      <alignment vertical="center" shrinkToFit="1"/>
      <protection hidden="1"/>
    </xf>
    <xf numFmtId="0" fontId="3" fillId="2" borderId="40" xfId="0" applyFont="1" applyFill="1" applyBorder="1" applyAlignment="1" applyProtection="1">
      <alignment vertical="center" shrinkToFit="1"/>
      <protection hidden="1"/>
    </xf>
    <xf numFmtId="0" fontId="3" fillId="2" borderId="26" xfId="0" applyFont="1" applyFill="1" applyBorder="1" applyAlignment="1" applyProtection="1">
      <alignment vertical="center" shrinkToFit="1"/>
      <protection hidden="1"/>
    </xf>
    <xf numFmtId="0" fontId="1" fillId="2" borderId="20" xfId="0" applyFont="1" applyFill="1" applyBorder="1" applyAlignment="1" applyProtection="1">
      <alignment vertical="center" shrinkToFit="1"/>
      <protection hidden="1"/>
    </xf>
    <xf numFmtId="0" fontId="3" fillId="2" borderId="20" xfId="0" applyFont="1" applyFill="1" applyBorder="1" applyAlignment="1" applyProtection="1">
      <alignment vertical="center" shrinkToFit="1"/>
      <protection hidden="1"/>
    </xf>
    <xf numFmtId="0" fontId="3" fillId="2" borderId="41" xfId="0" applyFont="1" applyFill="1" applyBorder="1" applyAlignment="1" applyProtection="1">
      <alignment vertical="center" shrinkToFit="1"/>
      <protection hidden="1"/>
    </xf>
    <xf numFmtId="0" fontId="3" fillId="2" borderId="0" xfId="0" applyFont="1" applyFill="1" applyBorder="1" applyAlignment="1" applyProtection="1">
      <alignment horizontal="left" vertical="center" shrinkToFit="1"/>
      <protection hidden="1"/>
    </xf>
    <xf numFmtId="0" fontId="3" fillId="2" borderId="35" xfId="0" applyFont="1" applyFill="1" applyBorder="1" applyAlignment="1" applyProtection="1">
      <alignment horizontal="left" vertical="center" shrinkToFit="1"/>
      <protection hidden="1"/>
    </xf>
    <xf numFmtId="0" fontId="3" fillId="2" borderId="20" xfId="0" applyFont="1" applyFill="1" applyBorder="1" applyAlignment="1" applyProtection="1">
      <alignment horizontal="center" vertical="center" shrinkToFit="1"/>
      <protection hidden="1"/>
    </xf>
    <xf numFmtId="0" fontId="3" fillId="0" borderId="25" xfId="0" applyFont="1" applyFill="1" applyBorder="1" applyAlignment="1" applyProtection="1">
      <alignment horizontal="center" vertical="center" shrinkToFit="1"/>
      <protection hidden="1"/>
    </xf>
    <xf numFmtId="0" fontId="3" fillId="0" borderId="25"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left" vertical="center" shrinkToFit="1"/>
      <protection hidden="1"/>
    </xf>
    <xf numFmtId="0" fontId="3" fillId="0" borderId="18"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left" vertical="center" shrinkToFit="1"/>
      <protection hidden="1"/>
    </xf>
    <xf numFmtId="0" fontId="3" fillId="0" borderId="48" xfId="0" applyFont="1" applyBorder="1" applyAlignment="1" applyProtection="1">
      <alignment horizontal="left" vertical="center"/>
      <protection hidden="1"/>
    </xf>
    <xf numFmtId="0" fontId="59" fillId="2" borderId="25" xfId="0" applyFont="1" applyFill="1" applyBorder="1" applyAlignment="1" applyProtection="1">
      <alignment horizontal="center" vertical="center"/>
      <protection hidden="1"/>
    </xf>
    <xf numFmtId="0" fontId="59" fillId="2" borderId="25"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1" fillId="2" borderId="20"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shrinkToFit="1"/>
      <protection hidden="1"/>
    </xf>
    <xf numFmtId="0" fontId="3" fillId="2" borderId="49" xfId="0" applyFont="1" applyFill="1" applyBorder="1" applyAlignment="1" applyProtection="1">
      <alignment horizontal="center" vertical="center" shrinkToFit="1"/>
      <protection hidden="1"/>
    </xf>
    <xf numFmtId="0" fontId="3" fillId="2" borderId="35"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3" fillId="2" borderId="52" xfId="0" applyFont="1" applyFill="1" applyBorder="1" applyAlignment="1" applyProtection="1">
      <alignment horizontal="center" vertical="center" shrinkToFit="1"/>
      <protection hidden="1"/>
    </xf>
    <xf numFmtId="0" fontId="3" fillId="0" borderId="25" xfId="0" applyFont="1" applyFill="1" applyBorder="1" applyAlignment="1" applyProtection="1">
      <alignment vertical="center" shrinkToFit="1"/>
      <protection hidden="1"/>
    </xf>
    <xf numFmtId="0" fontId="3" fillId="2" borderId="50" xfId="0" applyFont="1" applyFill="1" applyBorder="1" applyAlignment="1" applyProtection="1">
      <alignment vertical="center" shrinkToFit="1"/>
      <protection hidden="1"/>
    </xf>
    <xf numFmtId="0" fontId="1" fillId="2" borderId="25" xfId="0" applyFont="1" applyFill="1" applyBorder="1" applyAlignment="1" applyProtection="1">
      <alignment vertical="center" shrinkToFit="1"/>
      <protection hidden="1"/>
    </xf>
    <xf numFmtId="0" fontId="3" fillId="2" borderId="25" xfId="0" applyFont="1" applyFill="1" applyBorder="1" applyAlignment="1" applyProtection="1">
      <alignment vertical="center" shrinkToFit="1"/>
      <protection hidden="1"/>
    </xf>
    <xf numFmtId="0" fontId="3" fillId="2" borderId="49" xfId="0" applyFont="1" applyFill="1" applyBorder="1" applyAlignment="1" applyProtection="1">
      <alignment vertical="center" shrinkToFit="1"/>
      <protection hidden="1"/>
    </xf>
    <xf numFmtId="0" fontId="1" fillId="2" borderId="0" xfId="0" applyFont="1" applyFill="1" applyBorder="1" applyAlignment="1" applyProtection="1">
      <alignment horizontal="left" vertical="center" shrinkToFit="1"/>
      <protection hidden="1"/>
    </xf>
    <xf numFmtId="0" fontId="3" fillId="0" borderId="18"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0" fontId="3" fillId="0" borderId="0" xfId="0" applyFont="1" applyBorder="1" applyAlignment="1" applyProtection="1">
      <alignment vertical="center"/>
      <protection hidden="1"/>
    </xf>
    <xf numFmtId="0" fontId="3" fillId="2" borderId="0" xfId="0" applyFont="1" applyFill="1" applyBorder="1" applyAlignment="1" applyProtection="1">
      <alignment vertical="center"/>
      <protection hidden="1"/>
    </xf>
    <xf numFmtId="0" fontId="27" fillId="2" borderId="30" xfId="0" applyFont="1" applyFill="1" applyBorder="1" applyAlignment="1" applyProtection="1">
      <alignment vertical="center"/>
      <protection hidden="1"/>
    </xf>
    <xf numFmtId="0" fontId="14" fillId="0" borderId="0" xfId="0" applyFont="1" applyFill="1" applyAlignment="1" applyProtection="1">
      <alignment horizontal="left" vertical="center" shrinkToFit="1"/>
      <protection hidden="1"/>
    </xf>
    <xf numFmtId="0" fontId="7" fillId="0" borderId="0" xfId="0" applyFont="1" applyFill="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96" xfId="0" applyFont="1" applyFill="1" applyBorder="1" applyAlignment="1" applyProtection="1">
      <alignment horizontal="center" vertical="center"/>
      <protection hidden="1"/>
    </xf>
    <xf numFmtId="0" fontId="7" fillId="2" borderId="11" xfId="0" applyFont="1" applyFill="1" applyBorder="1" applyAlignment="1" applyProtection="1">
      <alignment vertical="center" wrapText="1"/>
      <protection hidden="1"/>
    </xf>
    <xf numFmtId="0" fontId="7" fillId="2" borderId="0" xfId="0" applyFont="1" applyFill="1" applyBorder="1" applyAlignment="1" applyProtection="1">
      <alignment vertical="center" wrapText="1"/>
      <protection hidden="1"/>
    </xf>
    <xf numFmtId="0" fontId="7" fillId="2" borderId="35" xfId="0" applyFont="1" applyFill="1" applyBorder="1" applyAlignment="1" applyProtection="1">
      <alignment horizontal="center" vertical="center"/>
      <protection hidden="1"/>
    </xf>
    <xf numFmtId="0" fontId="7" fillId="2" borderId="42" xfId="0" applyFont="1" applyFill="1" applyBorder="1" applyAlignment="1" applyProtection="1">
      <alignment horizontal="center" vertical="center"/>
      <protection hidden="1"/>
    </xf>
    <xf numFmtId="0" fontId="7" fillId="2" borderId="26"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7" fillId="2" borderId="11" xfId="0" applyFont="1" applyFill="1" applyBorder="1" applyAlignment="1" applyProtection="1">
      <alignment horizontal="left" vertical="center"/>
      <protection hidden="1"/>
    </xf>
    <xf numFmtId="0" fontId="7" fillId="2" borderId="26" xfId="0" applyFont="1" applyFill="1" applyBorder="1" applyAlignment="1" applyProtection="1">
      <alignment horizontal="center" vertical="center"/>
      <protection hidden="1"/>
    </xf>
    <xf numFmtId="0" fontId="7" fillId="2" borderId="0" xfId="0" quotePrefix="1" applyFont="1" applyFill="1" applyBorder="1" applyAlignment="1" applyProtection="1">
      <alignment horizontal="center" vertical="center"/>
      <protection hidden="1"/>
    </xf>
    <xf numFmtId="0" fontId="7" fillId="2" borderId="41" xfId="0" applyFont="1" applyFill="1" applyBorder="1" applyAlignment="1" applyProtection="1">
      <alignment horizontal="center" vertical="center"/>
      <protection hidden="1"/>
    </xf>
    <xf numFmtId="0" fontId="7" fillId="2" borderId="42" xfId="0" applyFont="1" applyFill="1" applyBorder="1" applyAlignment="1" applyProtection="1">
      <alignment horizontal="left" vertical="center"/>
      <protection hidden="1"/>
    </xf>
    <xf numFmtId="0" fontId="7" fillId="2" borderId="40" xfId="0" applyFont="1" applyFill="1" applyBorder="1" applyAlignment="1" applyProtection="1">
      <alignment horizontal="left" vertical="center"/>
      <protection hidden="1"/>
    </xf>
    <xf numFmtId="0" fontId="7" fillId="2" borderId="0" xfId="0" quotePrefix="1" applyFont="1" applyFill="1" applyBorder="1" applyAlignment="1" applyProtection="1">
      <alignment horizontal="left" vertical="center"/>
      <protection hidden="1"/>
    </xf>
    <xf numFmtId="0" fontId="7" fillId="2" borderId="71" xfId="0" applyFont="1" applyFill="1" applyBorder="1" applyAlignment="1" applyProtection="1">
      <alignment horizontal="left" vertical="center"/>
      <protection hidden="1"/>
    </xf>
    <xf numFmtId="0" fontId="7" fillId="2" borderId="73" xfId="0" applyFont="1" applyFill="1" applyBorder="1" applyAlignment="1" applyProtection="1">
      <alignment horizontal="left" vertical="center"/>
      <protection hidden="1"/>
    </xf>
    <xf numFmtId="0" fontId="7" fillId="2" borderId="73" xfId="0" applyFont="1" applyFill="1" applyBorder="1" applyAlignment="1" applyProtection="1">
      <alignment horizontal="center" vertical="center"/>
      <protection hidden="1"/>
    </xf>
    <xf numFmtId="0" fontId="7" fillId="2" borderId="98" xfId="0" applyFont="1" applyFill="1" applyBorder="1" applyAlignment="1" applyProtection="1">
      <alignment horizontal="center" vertical="center"/>
      <protection hidden="1"/>
    </xf>
    <xf numFmtId="0" fontId="7" fillId="2" borderId="97" xfId="0" applyFont="1" applyFill="1" applyBorder="1" applyAlignment="1" applyProtection="1">
      <alignment horizontal="center" vertical="center"/>
      <protection hidden="1"/>
    </xf>
    <xf numFmtId="0" fontId="7" fillId="2" borderId="84" xfId="0" applyFont="1" applyFill="1" applyBorder="1" applyAlignment="1" applyProtection="1">
      <alignment horizontal="center" vertical="center"/>
      <protection hidden="1"/>
    </xf>
    <xf numFmtId="0" fontId="7" fillId="0" borderId="0" xfId="0" applyFont="1" applyFill="1" applyAlignment="1" applyProtection="1">
      <alignment horizontal="left" vertical="center"/>
      <protection hidden="1"/>
    </xf>
    <xf numFmtId="0" fontId="35" fillId="0" borderId="0" xfId="0" quotePrefix="1"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7" fillId="2" borderId="26"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7" fillId="2" borderId="96" xfId="0" applyFont="1" applyFill="1" applyBorder="1" applyAlignment="1" applyProtection="1">
      <alignment horizontal="left" vertical="center" wrapText="1"/>
      <protection hidden="1"/>
    </xf>
    <xf numFmtId="0" fontId="7" fillId="2" borderId="26" xfId="0" applyFont="1" applyFill="1" applyBorder="1" applyAlignment="1" applyProtection="1">
      <alignment vertical="center" wrapText="1"/>
      <protection hidden="1"/>
    </xf>
    <xf numFmtId="0" fontId="7" fillId="2" borderId="96" xfId="0" applyFont="1" applyFill="1" applyBorder="1" applyAlignment="1" applyProtection="1">
      <alignment vertical="center" wrapText="1"/>
      <protection hidden="1"/>
    </xf>
    <xf numFmtId="0" fontId="7" fillId="0" borderId="0" xfId="0" applyFont="1" applyFill="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wrapText="1"/>
      <protection hidden="1"/>
    </xf>
    <xf numFmtId="0" fontId="7" fillId="2" borderId="11" xfId="0" applyFont="1" applyFill="1" applyBorder="1" applyAlignment="1" applyProtection="1">
      <alignment horizontal="left" vertical="center" wrapText="1"/>
      <protection hidden="1"/>
    </xf>
    <xf numFmtId="0" fontId="7" fillId="2" borderId="0" xfId="0" applyFont="1" applyFill="1" applyBorder="1" applyAlignment="1" applyProtection="1">
      <alignment vertical="center"/>
      <protection hidden="1"/>
    </xf>
    <xf numFmtId="0" fontId="7" fillId="2" borderId="71" xfId="0"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locked="0" hidden="1"/>
    </xf>
    <xf numFmtId="0" fontId="3" fillId="2" borderId="3" xfId="0" applyFont="1" applyFill="1" applyBorder="1" applyAlignment="1" applyProtection="1">
      <alignment horizontal="left" vertical="center"/>
      <protection hidden="1"/>
    </xf>
    <xf numFmtId="0" fontId="3" fillId="2" borderId="86" xfId="0" applyFont="1" applyFill="1" applyBorder="1" applyAlignment="1" applyProtection="1">
      <alignment horizontal="left" vertical="center"/>
      <protection locked="0" hidden="1"/>
    </xf>
    <xf numFmtId="0" fontId="3" fillId="2" borderId="90" xfId="0" applyFont="1" applyFill="1" applyBorder="1" applyAlignment="1" applyProtection="1">
      <alignment horizontal="left" vertical="center"/>
      <protection locked="0" hidden="1"/>
    </xf>
    <xf numFmtId="17" fontId="3" fillId="2" borderId="75" xfId="0" quotePrefix="1" applyNumberFormat="1" applyFont="1" applyFill="1" applyBorder="1" applyAlignment="1" applyProtection="1">
      <alignment horizontal="center" vertical="center"/>
      <protection locked="0" hidden="1"/>
    </xf>
    <xf numFmtId="0" fontId="1"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1" fillId="2" borderId="30" xfId="0" applyFont="1" applyFill="1" applyBorder="1" applyAlignment="1" applyProtection="1">
      <alignment horizontal="right" vertical="center"/>
      <protection hidden="1"/>
    </xf>
    <xf numFmtId="0" fontId="1" fillId="26" borderId="48" xfId="0" applyFont="1" applyFill="1" applyBorder="1" applyAlignment="1" applyProtection="1">
      <alignment vertical="center"/>
      <protection hidden="1"/>
    </xf>
    <xf numFmtId="0" fontId="1" fillId="27" borderId="48"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6" borderId="51" xfId="0" applyFont="1" applyFill="1" applyBorder="1" applyAlignment="1" applyProtection="1">
      <alignment vertical="center"/>
      <protection hidden="1"/>
    </xf>
    <xf numFmtId="0" fontId="1" fillId="27" borderId="36" xfId="0" applyFont="1" applyFill="1" applyBorder="1" applyAlignment="1" applyProtection="1">
      <alignment horizontal="center" vertical="center"/>
      <protection hidden="1"/>
    </xf>
    <xf numFmtId="0" fontId="1" fillId="14" borderId="48" xfId="0" applyFont="1" applyFill="1" applyBorder="1" applyAlignment="1" applyProtection="1">
      <alignment horizontal="center" vertical="center"/>
      <protection hidden="1"/>
    </xf>
    <xf numFmtId="0" fontId="1" fillId="14" borderId="36" xfId="0" applyFont="1" applyFill="1" applyBorder="1" applyAlignment="1" applyProtection="1">
      <alignment horizontal="center" vertical="center"/>
      <protection hidden="1"/>
    </xf>
    <xf numFmtId="0" fontId="1" fillId="2" borderId="32" xfId="0" applyFont="1" applyFill="1" applyBorder="1" applyAlignment="1" applyProtection="1">
      <alignment horizontal="right" vertical="center"/>
      <protection hidden="1"/>
    </xf>
    <xf numFmtId="0" fontId="1" fillId="26" borderId="36" xfId="0" applyFont="1" applyFill="1" applyBorder="1" applyAlignment="1" applyProtection="1">
      <alignment vertical="center"/>
      <protection hidden="1"/>
    </xf>
    <xf numFmtId="0" fontId="1" fillId="24" borderId="48" xfId="0" applyFont="1" applyFill="1" applyBorder="1" applyAlignment="1" applyProtection="1">
      <alignment horizontal="center" vertical="center"/>
      <protection hidden="1"/>
    </xf>
    <xf numFmtId="0" fontId="1" fillId="25" borderId="48" xfId="0" applyFont="1" applyFill="1" applyBorder="1" applyAlignment="1" applyProtection="1">
      <alignment horizontal="center" vertical="center"/>
      <protection hidden="1"/>
    </xf>
    <xf numFmtId="0" fontId="1" fillId="24" borderId="5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25" borderId="36" xfId="0" applyFont="1" applyFill="1" applyBorder="1" applyAlignment="1" applyProtection="1">
      <alignment horizontal="center" vertical="center"/>
      <protection hidden="1"/>
    </xf>
    <xf numFmtId="0" fontId="1" fillId="24" borderId="36"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26" xfId="0" applyFont="1" applyFill="1" applyBorder="1" applyAlignment="1" applyProtection="1">
      <alignment vertical="center"/>
      <protection hidden="1"/>
    </xf>
    <xf numFmtId="0" fontId="1" fillId="0" borderId="37" xfId="0" applyFont="1" applyBorder="1" applyAlignment="1" applyProtection="1">
      <alignment vertical="center"/>
      <protection hidden="1"/>
    </xf>
    <xf numFmtId="0" fontId="23" fillId="0" borderId="0" xfId="0" applyFont="1" applyAlignment="1" applyProtection="1">
      <alignment horizontal="center" vertical="center"/>
      <protection hidden="1"/>
    </xf>
    <xf numFmtId="0" fontId="8" fillId="0" borderId="49" xfId="2" applyFont="1" applyFill="1" applyBorder="1" applyAlignment="1" applyProtection="1">
      <alignment horizontal="center" vertical="center"/>
      <protection hidden="1"/>
    </xf>
    <xf numFmtId="0" fontId="1" fillId="0" borderId="32" xfId="0" applyFont="1" applyBorder="1" applyAlignment="1" applyProtection="1">
      <alignment vertical="center"/>
      <protection hidden="1"/>
    </xf>
    <xf numFmtId="0" fontId="1" fillId="0" borderId="33" xfId="0" applyFont="1" applyBorder="1" applyAlignment="1" applyProtection="1">
      <alignment vertical="center"/>
      <protection hidden="1"/>
    </xf>
    <xf numFmtId="0" fontId="1" fillId="0" borderId="34" xfId="0" applyFont="1" applyBorder="1" applyAlignment="1" applyProtection="1">
      <alignment vertical="center"/>
      <protection hidden="1"/>
    </xf>
    <xf numFmtId="0" fontId="23"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6" borderId="25" xfId="0" applyFont="1" applyFill="1" applyBorder="1" applyAlignment="1" applyProtection="1">
      <alignment horizontal="center" vertical="center"/>
      <protection locked="0" hidden="1"/>
    </xf>
    <xf numFmtId="0" fontId="1" fillId="2" borderId="20" xfId="0" applyFont="1" applyFill="1" applyBorder="1" applyAlignment="1" applyProtection="1">
      <alignment horizontal="center" vertical="center"/>
      <protection hidden="1"/>
    </xf>
    <xf numFmtId="0" fontId="3" fillId="12" borderId="26" xfId="0" applyFont="1" applyFill="1" applyBorder="1" applyAlignment="1" applyProtection="1">
      <alignment horizontal="center" vertical="center"/>
      <protection hidden="1"/>
    </xf>
    <xf numFmtId="0" fontId="12" fillId="10" borderId="26"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35" xfId="0" applyFont="1" applyFill="1" applyBorder="1" applyAlignment="1" applyProtection="1">
      <alignment horizontal="center" vertical="center"/>
      <protection hidden="1"/>
    </xf>
    <xf numFmtId="0" fontId="12" fillId="0" borderId="3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 fillId="33" borderId="26"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hidden="1"/>
    </xf>
    <xf numFmtId="0" fontId="1" fillId="33" borderId="35" xfId="0" applyFont="1" applyFill="1" applyBorder="1" applyAlignment="1" applyProtection="1">
      <alignment vertical="center"/>
      <protection hidden="1"/>
    </xf>
    <xf numFmtId="0" fontId="1" fillId="33" borderId="37" xfId="0" applyFont="1" applyFill="1" applyBorder="1" applyAlignment="1" applyProtection="1">
      <alignment horizontal="center" vertical="center"/>
      <protection hidden="1"/>
    </xf>
    <xf numFmtId="0" fontId="1" fillId="33" borderId="18" xfId="0" applyFont="1" applyFill="1" applyBorder="1" applyAlignment="1" applyProtection="1">
      <alignment vertical="center"/>
      <protection hidden="1"/>
    </xf>
    <xf numFmtId="0" fontId="1" fillId="33" borderId="52" xfId="0" applyFont="1" applyFill="1" applyBorder="1" applyAlignment="1" applyProtection="1">
      <alignment vertical="center"/>
      <protection hidden="1"/>
    </xf>
    <xf numFmtId="0" fontId="9" fillId="33" borderId="50" xfId="0" applyFont="1" applyFill="1" applyBorder="1" applyAlignment="1" applyProtection="1">
      <alignment horizontal="center" vertical="center"/>
      <protection hidden="1"/>
    </xf>
    <xf numFmtId="0" fontId="9" fillId="33" borderId="25" xfId="0" applyFont="1" applyFill="1" applyBorder="1" applyAlignment="1" applyProtection="1">
      <alignment vertical="center"/>
      <protection hidden="1"/>
    </xf>
    <xf numFmtId="0" fontId="9" fillId="33" borderId="49" xfId="0" applyFont="1" applyFill="1" applyBorder="1" applyAlignment="1" applyProtection="1">
      <alignment vertical="center"/>
      <protection hidden="1"/>
    </xf>
    <xf numFmtId="0" fontId="1" fillId="2" borderId="42" xfId="0" applyFont="1" applyFill="1" applyBorder="1" applyAlignment="1" applyProtection="1">
      <alignment horizontal="center" vertical="center"/>
      <protection hidden="1"/>
    </xf>
    <xf numFmtId="0" fontId="3" fillId="2" borderId="42" xfId="0" applyFont="1" applyFill="1" applyBorder="1" applyAlignment="1" applyProtection="1">
      <alignment horizontal="left" vertical="center"/>
      <protection locked="0" hidden="1"/>
    </xf>
    <xf numFmtId="0" fontId="14" fillId="0" borderId="0" xfId="0" applyFont="1" applyFill="1" applyBorder="1" applyAlignment="1" applyProtection="1">
      <alignment horizontal="center" vertical="center" wrapText="1"/>
      <protection hidden="1"/>
    </xf>
    <xf numFmtId="0" fontId="14" fillId="30" borderId="18" xfId="0" applyFont="1" applyFill="1" applyBorder="1" applyAlignment="1" applyProtection="1">
      <alignment horizontal="center" vertical="center" wrapText="1"/>
      <protection hidden="1"/>
    </xf>
    <xf numFmtId="0" fontId="14" fillId="30" borderId="18" xfId="0" applyFont="1" applyFill="1" applyBorder="1" applyAlignment="1" applyProtection="1">
      <alignment horizontal="center" vertical="center"/>
      <protection hidden="1"/>
    </xf>
    <xf numFmtId="0" fontId="13" fillId="13" borderId="48" xfId="0" applyFont="1" applyFill="1" applyBorder="1" applyAlignment="1" applyProtection="1">
      <alignment horizontal="center" vertical="center"/>
      <protection hidden="1"/>
    </xf>
    <xf numFmtId="0" fontId="14" fillId="13" borderId="51" xfId="0" applyFont="1" applyFill="1" applyBorder="1" applyAlignment="1" applyProtection="1">
      <alignment horizontal="left" vertical="center"/>
      <protection hidden="1"/>
    </xf>
    <xf numFmtId="0" fontId="14" fillId="13" borderId="36" xfId="0" applyFont="1" applyFill="1" applyBorder="1" applyAlignment="1" applyProtection="1">
      <alignment horizontal="left" vertical="center"/>
      <protection hidden="1"/>
    </xf>
    <xf numFmtId="0" fontId="14" fillId="0" borderId="0" xfId="0" quotePrefix="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0" borderId="25" xfId="0" applyFont="1" applyBorder="1" applyAlignment="1" applyProtection="1">
      <alignment vertical="center"/>
      <protection hidden="1"/>
    </xf>
    <xf numFmtId="0" fontId="14" fillId="0" borderId="37" xfId="0" applyFont="1" applyFill="1" applyBorder="1" applyAlignment="1" applyProtection="1">
      <alignment horizontal="left" vertical="center"/>
      <protection hidden="1"/>
    </xf>
    <xf numFmtId="0" fontId="8" fillId="2" borderId="22" xfId="0" applyFont="1" applyFill="1" applyBorder="1" applyAlignment="1" applyProtection="1">
      <alignment horizontal="center" vertical="center"/>
      <protection hidden="1"/>
    </xf>
    <xf numFmtId="0" fontId="1" fillId="2" borderId="103"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locked="0" hidden="1"/>
    </xf>
    <xf numFmtId="0" fontId="31" fillId="6" borderId="42" xfId="0" applyFont="1" applyFill="1" applyBorder="1" applyAlignment="1" applyProtection="1">
      <alignment horizontal="center" vertical="center"/>
      <protection locked="0" hidden="1"/>
    </xf>
    <xf numFmtId="0" fontId="3" fillId="6" borderId="42" xfId="0" applyFont="1" applyFill="1" applyBorder="1" applyAlignment="1" applyProtection="1">
      <alignment horizontal="center" vertical="center"/>
      <protection locked="0" hidden="1"/>
    </xf>
    <xf numFmtId="0" fontId="12" fillId="10" borderId="25" xfId="0" applyFont="1" applyFill="1" applyBorder="1" applyAlignment="1" applyProtection="1">
      <alignment horizontal="center" vertical="center" shrinkToFit="1"/>
      <protection hidden="1"/>
    </xf>
    <xf numFmtId="0" fontId="3" fillId="2" borderId="17" xfId="0" applyFont="1" applyFill="1" applyBorder="1" applyAlignment="1" applyProtection="1">
      <alignment horizontal="left" vertical="center"/>
      <protection hidden="1"/>
    </xf>
    <xf numFmtId="0" fontId="3" fillId="2" borderId="35" xfId="0" applyFont="1" applyFill="1" applyBorder="1" applyAlignment="1" applyProtection="1">
      <alignment horizontal="left" vertical="center" shrinkToFit="1"/>
      <protection hidden="1"/>
    </xf>
    <xf numFmtId="0" fontId="3" fillId="2" borderId="89"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4" fillId="2" borderId="70" xfId="0" applyFont="1" applyFill="1" applyBorder="1" applyAlignment="1" applyProtection="1">
      <alignment horizontal="center" vertical="center" wrapText="1"/>
      <protection hidden="1"/>
    </xf>
    <xf numFmtId="0" fontId="44" fillId="32" borderId="35" xfId="0" applyFont="1" applyFill="1" applyBorder="1" applyAlignment="1" applyProtection="1">
      <alignment vertical="center" shrinkToFit="1"/>
      <protection hidden="1"/>
    </xf>
    <xf numFmtId="0" fontId="45" fillId="0" borderId="35" xfId="0" applyFont="1" applyBorder="1" applyAlignment="1" applyProtection="1">
      <alignment vertical="center" shrinkToFit="1"/>
      <protection hidden="1"/>
    </xf>
    <xf numFmtId="0" fontId="49" fillId="32" borderId="35" xfId="0" applyFont="1" applyFill="1" applyBorder="1" applyAlignment="1" applyProtection="1">
      <alignment horizontal="left" vertical="center" wrapText="1"/>
      <protection hidden="1"/>
    </xf>
    <xf numFmtId="0" fontId="7" fillId="32" borderId="35" xfId="0" applyFont="1" applyFill="1" applyBorder="1" applyAlignment="1" applyProtection="1">
      <alignment horizontal="left" vertical="center" wrapText="1"/>
      <protection hidden="1"/>
    </xf>
    <xf numFmtId="0" fontId="59" fillId="2" borderId="50" xfId="0" applyFont="1" applyFill="1" applyBorder="1" applyAlignment="1" applyProtection="1">
      <alignment horizontal="left" vertical="center" shrinkToFit="1"/>
      <protection hidden="1"/>
    </xf>
    <xf numFmtId="0" fontId="59" fillId="2" borderId="25" xfId="0" applyFont="1" applyFill="1" applyBorder="1" applyAlignment="1" applyProtection="1">
      <alignment horizontal="left" vertical="center" shrinkToFit="1"/>
      <protection hidden="1"/>
    </xf>
    <xf numFmtId="0" fontId="3" fillId="2" borderId="26" xfId="0" applyFont="1" applyFill="1" applyBorder="1" applyAlignment="1" applyProtection="1">
      <alignment horizontal="left" vertical="center" shrinkToFit="1"/>
      <protection hidden="1"/>
    </xf>
    <xf numFmtId="0" fontId="3" fillId="2" borderId="0" xfId="0" applyFont="1" applyFill="1" applyBorder="1" applyAlignment="1" applyProtection="1">
      <alignment horizontal="left" vertical="center" shrinkToFit="1"/>
      <protection hidden="1"/>
    </xf>
    <xf numFmtId="0" fontId="3" fillId="2" borderId="35" xfId="0" applyFont="1" applyFill="1" applyBorder="1" applyAlignment="1" applyProtection="1">
      <alignment horizontal="left" vertical="center" shrinkToFit="1"/>
      <protection hidden="1"/>
    </xf>
    <xf numFmtId="0" fontId="3" fillId="2" borderId="37" xfId="0" applyFont="1" applyFill="1" applyBorder="1" applyAlignment="1" applyProtection="1">
      <alignment horizontal="left" vertical="center" shrinkToFit="1"/>
      <protection hidden="1"/>
    </xf>
    <xf numFmtId="0" fontId="3" fillId="2" borderId="18" xfId="0" applyFont="1" applyFill="1" applyBorder="1" applyAlignment="1" applyProtection="1">
      <alignment horizontal="left" vertical="center" shrinkToFit="1"/>
      <protection hidden="1"/>
    </xf>
    <xf numFmtId="0" fontId="3" fillId="2" borderId="52" xfId="0" applyFont="1" applyFill="1" applyBorder="1" applyAlignment="1" applyProtection="1">
      <alignment horizontal="left" vertical="center" shrinkToFit="1"/>
      <protection hidden="1"/>
    </xf>
    <xf numFmtId="0" fontId="1" fillId="6" borderId="39" xfId="0" applyFont="1" applyFill="1" applyBorder="1" applyAlignment="1" applyProtection="1">
      <alignment horizontal="left" vertical="center"/>
      <protection locked="0" hidden="1"/>
    </xf>
    <xf numFmtId="0" fontId="1" fillId="6" borderId="42" xfId="0" applyFont="1" applyFill="1" applyBorder="1" applyAlignment="1" applyProtection="1">
      <alignment horizontal="left" vertical="center"/>
      <protection locked="0" hidden="1"/>
    </xf>
    <xf numFmtId="0" fontId="1" fillId="6" borderId="43" xfId="0" applyFont="1" applyFill="1" applyBorder="1" applyAlignment="1" applyProtection="1">
      <alignment horizontal="left" vertical="center"/>
      <protection locked="0" hidden="1"/>
    </xf>
    <xf numFmtId="0" fontId="24" fillId="2" borderId="27" xfId="0" applyFont="1" applyFill="1" applyBorder="1" applyAlignment="1" applyProtection="1">
      <alignment vertical="center"/>
      <protection hidden="1"/>
    </xf>
    <xf numFmtId="0" fontId="24" fillId="2" borderId="28" xfId="0" applyFont="1" applyFill="1" applyBorder="1" applyAlignment="1" applyProtection="1">
      <alignment vertical="center"/>
      <protection hidden="1"/>
    </xf>
    <xf numFmtId="0" fontId="38" fillId="2" borderId="28" xfId="0" applyFont="1" applyFill="1" applyBorder="1" applyAlignment="1" applyProtection="1">
      <alignment vertical="center"/>
      <protection hidden="1"/>
    </xf>
    <xf numFmtId="0" fontId="24" fillId="2" borderId="30" xfId="0" applyFont="1" applyFill="1" applyBorder="1" applyAlignment="1" applyProtection="1">
      <alignment vertical="center"/>
      <protection hidden="1"/>
    </xf>
    <xf numFmtId="0" fontId="24" fillId="2" borderId="0" xfId="0" applyFont="1" applyFill="1" applyBorder="1" applyAlignment="1" applyProtection="1">
      <alignment vertical="center"/>
      <protection hidden="1"/>
    </xf>
    <xf numFmtId="0" fontId="38" fillId="2" borderId="0" xfId="0" applyFont="1" applyFill="1" applyBorder="1" applyAlignment="1" applyProtection="1">
      <alignment vertical="center"/>
      <protection hidden="1"/>
    </xf>
    <xf numFmtId="0" fontId="27" fillId="2" borderId="45" xfId="0" applyFont="1" applyFill="1" applyBorder="1" applyAlignment="1" applyProtection="1">
      <alignment vertical="center" shrinkToFit="1"/>
      <protection hidden="1"/>
    </xf>
    <xf numFmtId="0" fontId="27" fillId="2" borderId="18" xfId="0" applyFont="1" applyFill="1" applyBorder="1" applyAlignment="1" applyProtection="1">
      <alignment vertical="center" shrinkToFit="1"/>
      <protection hidden="1"/>
    </xf>
    <xf numFmtId="0" fontId="4" fillId="2" borderId="18" xfId="0" applyFont="1" applyFill="1" applyBorder="1" applyAlignment="1" applyProtection="1">
      <alignment vertical="center" shrinkToFit="1"/>
      <protection hidden="1"/>
    </xf>
    <xf numFmtId="0" fontId="4" fillId="2" borderId="52" xfId="0" applyFont="1" applyFill="1" applyBorder="1" applyAlignment="1" applyProtection="1">
      <alignment vertical="center"/>
      <protection hidden="1"/>
    </xf>
    <xf numFmtId="0" fontId="27" fillId="2" borderId="37" xfId="0" applyFont="1" applyFill="1" applyBorder="1" applyAlignment="1" applyProtection="1">
      <alignment horizontal="center" vertical="center" shrinkToFit="1"/>
      <protection hidden="1"/>
    </xf>
    <xf numFmtId="0" fontId="27" fillId="2" borderId="18" xfId="0" applyFont="1" applyFill="1" applyBorder="1" applyAlignment="1" applyProtection="1">
      <alignment horizontal="center" vertical="center" shrinkToFit="1"/>
      <protection hidden="1"/>
    </xf>
    <xf numFmtId="0" fontId="27" fillId="2" borderId="38" xfId="0" applyFont="1" applyFill="1" applyBorder="1" applyAlignment="1" applyProtection="1">
      <alignment horizontal="center" vertical="center" shrinkToFit="1"/>
      <protection hidden="1"/>
    </xf>
    <xf numFmtId="0" fontId="1" fillId="6" borderId="45" xfId="0" applyFont="1" applyFill="1" applyBorder="1" applyAlignment="1" applyProtection="1">
      <alignment horizontal="left" vertical="center" shrinkToFit="1"/>
      <protection locked="0" hidden="1"/>
    </xf>
    <xf numFmtId="0" fontId="1" fillId="6" borderId="18" xfId="0" applyFont="1" applyFill="1" applyBorder="1" applyAlignment="1" applyProtection="1">
      <alignment horizontal="left" vertical="center" shrinkToFit="1"/>
      <protection locked="0" hidden="1"/>
    </xf>
    <xf numFmtId="0" fontId="1" fillId="6" borderId="40" xfId="0" applyFont="1" applyFill="1" applyBorder="1" applyAlignment="1" applyProtection="1">
      <alignment horizontal="left" vertical="center" shrinkToFit="1"/>
      <protection locked="0" hidden="1"/>
    </xf>
    <xf numFmtId="0" fontId="1" fillId="6" borderId="20" xfId="0" applyFont="1" applyFill="1" applyBorder="1" applyAlignment="1" applyProtection="1">
      <alignment horizontal="left" vertical="center" shrinkToFit="1"/>
      <protection locked="0" hidden="1"/>
    </xf>
    <xf numFmtId="0" fontId="1" fillId="6" borderId="40" xfId="0" applyFont="1" applyFill="1" applyBorder="1" applyAlignment="1" applyProtection="1">
      <alignment horizontal="center" vertical="center" shrinkToFit="1"/>
      <protection locked="0" hidden="1"/>
    </xf>
    <xf numFmtId="0" fontId="1" fillId="6" borderId="58" xfId="0" applyFont="1" applyFill="1" applyBorder="1" applyAlignment="1" applyProtection="1">
      <alignment horizontal="center" vertical="center" shrinkToFit="1"/>
      <protection locked="0" hidden="1"/>
    </xf>
    <xf numFmtId="0" fontId="1" fillId="6" borderId="53" xfId="0" applyFont="1" applyFill="1" applyBorder="1" applyAlignment="1" applyProtection="1">
      <alignment horizontal="left" vertical="center" shrinkToFit="1"/>
      <protection locked="0" hidden="1"/>
    </xf>
    <xf numFmtId="0" fontId="2" fillId="2" borderId="27" xfId="0" applyFont="1" applyFill="1" applyBorder="1" applyAlignment="1" applyProtection="1">
      <alignment horizontal="left" vertical="center"/>
      <protection hidden="1"/>
    </xf>
    <xf numFmtId="0" fontId="2" fillId="2" borderId="28" xfId="0" applyFont="1" applyFill="1" applyBorder="1" applyAlignment="1" applyProtection="1">
      <alignment horizontal="left" vertical="center"/>
      <protection hidden="1"/>
    </xf>
    <xf numFmtId="0" fontId="2" fillId="2" borderId="30"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protection hidden="1"/>
    </xf>
    <xf numFmtId="0" fontId="1" fillId="6" borderId="53" xfId="0" applyFont="1" applyFill="1" applyBorder="1" applyAlignment="1" applyProtection="1">
      <alignment horizontal="left" shrinkToFit="1"/>
      <protection locked="0" hidden="1"/>
    </xf>
    <xf numFmtId="0" fontId="1" fillId="6" borderId="20" xfId="0" applyFont="1" applyFill="1" applyBorder="1" applyAlignment="1" applyProtection="1">
      <alignment horizontal="left" shrinkToFit="1"/>
      <protection locked="0" hidden="1"/>
    </xf>
    <xf numFmtId="0" fontId="1" fillId="6" borderId="41" xfId="0" applyFont="1" applyFill="1" applyBorder="1" applyAlignment="1" applyProtection="1">
      <alignment horizontal="left" shrinkToFit="1"/>
      <protection locked="0" hidden="1"/>
    </xf>
    <xf numFmtId="0" fontId="21" fillId="0" borderId="40" xfId="0" applyFont="1" applyBorder="1" applyAlignment="1" applyProtection="1">
      <alignment horizontal="center"/>
      <protection hidden="1"/>
    </xf>
    <xf numFmtId="0" fontId="4" fillId="0" borderId="58" xfId="0" applyFont="1" applyBorder="1" applyAlignment="1" applyProtection="1">
      <protection hidden="1"/>
    </xf>
    <xf numFmtId="0" fontId="1" fillId="6" borderId="53" xfId="0" applyFont="1" applyFill="1" applyBorder="1" applyAlignment="1" applyProtection="1">
      <alignment horizontal="left" vertical="center"/>
      <protection locked="0" hidden="1"/>
    </xf>
    <xf numFmtId="0" fontId="1" fillId="6" borderId="20" xfId="0" applyFont="1" applyFill="1" applyBorder="1" applyAlignment="1" applyProtection="1">
      <alignment horizontal="left" vertical="center"/>
      <protection locked="0" hidden="1"/>
    </xf>
    <xf numFmtId="0" fontId="1" fillId="6" borderId="41" xfId="0" applyFont="1" applyFill="1" applyBorder="1" applyAlignment="1" applyProtection="1">
      <alignment horizontal="left" vertical="center"/>
      <protection locked="0" hidden="1"/>
    </xf>
    <xf numFmtId="0" fontId="1" fillId="6" borderId="40" xfId="0" applyFont="1" applyFill="1" applyBorder="1" applyAlignment="1" applyProtection="1">
      <alignment horizontal="left" vertical="center"/>
      <protection locked="0" hidden="1"/>
    </xf>
    <xf numFmtId="0" fontId="1" fillId="6" borderId="58" xfId="0" applyFont="1" applyFill="1" applyBorder="1" applyAlignment="1" applyProtection="1">
      <alignment horizontal="left" vertical="center"/>
      <protection locked="0" hidden="1"/>
    </xf>
    <xf numFmtId="0" fontId="9" fillId="2" borderId="45" xfId="0" applyFont="1" applyFill="1" applyBorder="1" applyAlignment="1" applyProtection="1">
      <alignment horizontal="left" vertical="center"/>
      <protection hidden="1"/>
    </xf>
    <xf numFmtId="0" fontId="9" fillId="2" borderId="18" xfId="0" applyFont="1" applyFill="1" applyBorder="1" applyAlignment="1" applyProtection="1">
      <alignment horizontal="left" vertical="center"/>
      <protection hidden="1"/>
    </xf>
    <xf numFmtId="0" fontId="9" fillId="2" borderId="18" xfId="0" applyFont="1" applyFill="1" applyBorder="1" applyAlignment="1" applyProtection="1">
      <alignment horizontal="center" vertical="center"/>
      <protection hidden="1"/>
    </xf>
    <xf numFmtId="0" fontId="42" fillId="2" borderId="18" xfId="0" applyFont="1" applyFill="1" applyBorder="1" applyAlignment="1" applyProtection="1">
      <alignment horizontal="center" vertical="center"/>
      <protection hidden="1"/>
    </xf>
    <xf numFmtId="0" fontId="42" fillId="2" borderId="38" xfId="0" applyFont="1" applyFill="1" applyBorder="1" applyAlignment="1" applyProtection="1">
      <alignment horizontal="center" vertical="center"/>
      <protection hidden="1"/>
    </xf>
    <xf numFmtId="0" fontId="1" fillId="2" borderId="26" xfId="0" applyFont="1" applyFill="1" applyBorder="1" applyAlignment="1" applyProtection="1">
      <alignment horizontal="left" vertical="center" shrinkToFit="1"/>
      <protection hidden="1"/>
    </xf>
    <xf numFmtId="0" fontId="1" fillId="2" borderId="0" xfId="0" applyFont="1" applyFill="1" applyBorder="1" applyAlignment="1" applyProtection="1">
      <alignment horizontal="left" vertical="center" shrinkToFit="1"/>
      <protection hidden="1"/>
    </xf>
    <xf numFmtId="0" fontId="1" fillId="2" borderId="35" xfId="0" applyFont="1" applyFill="1" applyBorder="1" applyAlignment="1" applyProtection="1">
      <alignment horizontal="left" vertical="center" shrinkToFit="1"/>
      <protection hidden="1"/>
    </xf>
    <xf numFmtId="0" fontId="3" fillId="2" borderId="50" xfId="0" applyFont="1" applyFill="1" applyBorder="1" applyAlignment="1" applyProtection="1">
      <alignment horizontal="left" vertical="center" shrinkToFit="1"/>
      <protection hidden="1"/>
    </xf>
    <xf numFmtId="0" fontId="3" fillId="2" borderId="25" xfId="0" applyFont="1" applyFill="1" applyBorder="1" applyAlignment="1" applyProtection="1">
      <alignment horizontal="left" vertical="center" shrinkToFit="1"/>
      <protection hidden="1"/>
    </xf>
    <xf numFmtId="0" fontId="3" fillId="2" borderId="49" xfId="0" applyFont="1" applyFill="1" applyBorder="1" applyAlignment="1" applyProtection="1">
      <alignment horizontal="left" vertical="center" shrinkToFit="1"/>
      <protection hidden="1"/>
    </xf>
    <xf numFmtId="0" fontId="3" fillId="2" borderId="0"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19" fillId="2" borderId="0" xfId="0" applyFont="1" applyFill="1" applyBorder="1" applyAlignment="1" applyProtection="1">
      <alignment horizontal="center" vertical="center" shrinkToFit="1"/>
      <protection hidden="1"/>
    </xf>
    <xf numFmtId="0" fontId="7" fillId="2" borderId="0" xfId="0" applyFont="1" applyFill="1" applyBorder="1" applyAlignment="1" applyProtection="1">
      <alignment horizontal="center" vertical="center" shrinkToFit="1"/>
      <protection hidden="1"/>
    </xf>
    <xf numFmtId="0" fontId="1" fillId="2" borderId="50" xfId="0" applyFont="1" applyFill="1" applyBorder="1" applyAlignment="1" applyProtection="1">
      <alignment horizontal="left" vertical="center" shrinkToFit="1"/>
      <protection hidden="1"/>
    </xf>
    <xf numFmtId="0" fontId="1" fillId="2" borderId="25" xfId="0" applyFont="1" applyFill="1" applyBorder="1" applyAlignment="1" applyProtection="1">
      <alignment horizontal="left" vertical="center" shrinkToFit="1"/>
      <protection hidden="1"/>
    </xf>
    <xf numFmtId="0" fontId="1" fillId="2" borderId="40" xfId="0" applyFont="1" applyFill="1" applyBorder="1" applyAlignment="1" applyProtection="1">
      <alignment horizontal="left" vertical="center" shrinkToFit="1"/>
      <protection hidden="1"/>
    </xf>
    <xf numFmtId="0" fontId="1" fillId="2" borderId="20" xfId="0" applyFont="1" applyFill="1" applyBorder="1" applyAlignment="1" applyProtection="1">
      <alignment horizontal="left" vertical="center" shrinkToFit="1"/>
      <protection hidden="1"/>
    </xf>
    <xf numFmtId="0" fontId="1" fillId="2" borderId="41" xfId="0" applyFont="1" applyFill="1" applyBorder="1" applyAlignment="1" applyProtection="1">
      <alignment horizontal="left" vertical="center" shrinkToFit="1"/>
      <protection hidden="1"/>
    </xf>
    <xf numFmtId="0" fontId="3" fillId="2" borderId="50" xfId="0" applyFont="1" applyFill="1" applyBorder="1" applyAlignment="1" applyProtection="1">
      <alignment horizontal="center" vertical="center" shrinkToFit="1"/>
      <protection hidden="1"/>
    </xf>
    <xf numFmtId="0" fontId="3" fillId="2" borderId="25" xfId="0" applyFont="1" applyFill="1" applyBorder="1" applyAlignment="1" applyProtection="1">
      <alignment horizontal="center" vertical="center" shrinkToFit="1"/>
      <protection hidden="1"/>
    </xf>
    <xf numFmtId="0" fontId="3" fillId="2" borderId="26" xfId="0" applyFont="1" applyFill="1" applyBorder="1" applyAlignment="1" applyProtection="1">
      <alignment horizontal="center" vertical="center" shrinkToFit="1"/>
      <protection hidden="1"/>
    </xf>
    <xf numFmtId="0" fontId="1" fillId="0" borderId="48" xfId="0" applyFont="1" applyBorder="1" applyAlignment="1" applyProtection="1">
      <alignment horizontal="left" vertical="center"/>
      <protection hidden="1"/>
    </xf>
    <xf numFmtId="0" fontId="3" fillId="0" borderId="48" xfId="0" applyFont="1" applyBorder="1" applyAlignment="1" applyProtection="1">
      <alignment horizontal="left" vertical="center"/>
      <protection hidden="1"/>
    </xf>
    <xf numFmtId="0" fontId="29" fillId="0" borderId="48" xfId="0" applyFont="1" applyBorder="1" applyAlignment="1" applyProtection="1">
      <alignment horizontal="left" vertical="center"/>
      <protection hidden="1"/>
    </xf>
    <xf numFmtId="0" fontId="1" fillId="0" borderId="40" xfId="0" quotePrefix="1"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0" fontId="1" fillId="0" borderId="41" xfId="0" applyFont="1" applyBorder="1" applyAlignment="1" applyProtection="1">
      <alignment horizontal="left" vertical="center"/>
      <protection hidden="1"/>
    </xf>
    <xf numFmtId="0" fontId="59" fillId="2" borderId="50" xfId="0" applyFont="1" applyFill="1" applyBorder="1" applyAlignment="1" applyProtection="1">
      <alignment horizontal="left" vertical="center"/>
      <protection hidden="1"/>
    </xf>
    <xf numFmtId="0" fontId="59" fillId="2" borderId="25" xfId="0" applyFont="1" applyFill="1" applyBorder="1" applyAlignment="1" applyProtection="1">
      <alignment horizontal="left" vertical="center"/>
      <protection hidden="1"/>
    </xf>
    <xf numFmtId="0" fontId="59" fillId="2" borderId="25" xfId="0" applyFont="1" applyFill="1" applyBorder="1" applyAlignment="1" applyProtection="1">
      <alignment horizontal="center" vertical="center"/>
      <protection hidden="1"/>
    </xf>
    <xf numFmtId="0" fontId="59" fillId="2" borderId="49" xfId="0" applyFont="1" applyFill="1" applyBorder="1" applyAlignment="1" applyProtection="1">
      <alignment horizontal="center" vertical="center"/>
      <protection hidden="1"/>
    </xf>
    <xf numFmtId="0" fontId="59" fillId="2" borderId="49"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wrapText="1" shrinkToFit="1"/>
      <protection hidden="1"/>
    </xf>
    <xf numFmtId="0" fontId="9" fillId="2" borderId="50" xfId="0" applyFont="1" applyFill="1" applyBorder="1" applyAlignment="1" applyProtection="1">
      <alignment horizontal="center" vertical="center"/>
      <protection hidden="1"/>
    </xf>
    <xf numFmtId="0" fontId="9" fillId="2" borderId="44" xfId="0" applyFont="1" applyFill="1" applyBorder="1" applyAlignment="1" applyProtection="1">
      <alignment horizontal="center" vertical="center"/>
      <protection hidden="1"/>
    </xf>
    <xf numFmtId="0" fontId="8" fillId="2" borderId="40" xfId="0" applyFont="1" applyFill="1" applyBorder="1" applyAlignment="1" applyProtection="1">
      <alignment horizontal="left" vertical="center"/>
      <protection locked="0" hidden="1"/>
    </xf>
    <xf numFmtId="0" fontId="8" fillId="2" borderId="20" xfId="0" applyFont="1" applyFill="1" applyBorder="1" applyAlignment="1" applyProtection="1">
      <alignment horizontal="left" vertical="center"/>
      <protection locked="0" hidden="1"/>
    </xf>
    <xf numFmtId="0" fontId="8" fillId="2" borderId="41" xfId="0" applyFont="1" applyFill="1" applyBorder="1" applyAlignment="1" applyProtection="1">
      <alignment horizontal="left" vertical="center"/>
      <protection locked="0" hidden="1"/>
    </xf>
    <xf numFmtId="0" fontId="7" fillId="2" borderId="26" xfId="0" applyFont="1" applyFill="1" applyBorder="1" applyAlignment="1" applyProtection="1">
      <alignment horizontal="left" vertical="center" shrinkToFit="1"/>
      <protection hidden="1"/>
    </xf>
    <xf numFmtId="0" fontId="7" fillId="2" borderId="0" xfId="0" applyFont="1" applyFill="1" applyBorder="1" applyAlignment="1" applyProtection="1">
      <alignment horizontal="left" vertical="center" shrinkToFit="1"/>
      <protection hidden="1"/>
    </xf>
    <xf numFmtId="0" fontId="7" fillId="2" borderId="37" xfId="0" applyFont="1" applyFill="1" applyBorder="1" applyAlignment="1" applyProtection="1">
      <alignment horizontal="left" vertical="center" shrinkToFit="1"/>
      <protection hidden="1"/>
    </xf>
    <xf numFmtId="0" fontId="7" fillId="2" borderId="18" xfId="0" applyFont="1" applyFill="1" applyBorder="1" applyAlignment="1" applyProtection="1">
      <alignment horizontal="left" vertical="center" shrinkToFit="1"/>
      <protection hidden="1"/>
    </xf>
    <xf numFmtId="0" fontId="3" fillId="2" borderId="35" xfId="0" applyFont="1" applyFill="1" applyBorder="1" applyAlignment="1" applyProtection="1">
      <alignment horizontal="center" vertical="center" shrinkToFit="1"/>
      <protection hidden="1"/>
    </xf>
    <xf numFmtId="0" fontId="3" fillId="2" borderId="52" xfId="0" applyFont="1" applyFill="1" applyBorder="1" applyAlignment="1" applyProtection="1">
      <alignment horizontal="center" vertical="center" shrinkToFit="1"/>
      <protection hidden="1"/>
    </xf>
    <xf numFmtId="0" fontId="4" fillId="5" borderId="42" xfId="0" applyFont="1" applyFill="1" applyBorder="1" applyAlignment="1" applyProtection="1">
      <alignment horizontal="center" vertical="center"/>
      <protection hidden="1"/>
    </xf>
    <xf numFmtId="0" fontId="4" fillId="5" borderId="43" xfId="0" applyFont="1" applyFill="1" applyBorder="1" applyAlignment="1" applyProtection="1">
      <alignment horizontal="center" vertical="center"/>
      <protection hidden="1"/>
    </xf>
    <xf numFmtId="0" fontId="1" fillId="22" borderId="39" xfId="0" applyFont="1" applyFill="1" applyBorder="1" applyAlignment="1" applyProtection="1">
      <alignment horizontal="left" vertical="center"/>
      <protection hidden="1"/>
    </xf>
    <xf numFmtId="0" fontId="1" fillId="22" borderId="42" xfId="0" applyFont="1" applyFill="1" applyBorder="1" applyAlignment="1" applyProtection="1">
      <alignment horizontal="left" vertical="center"/>
      <protection hidden="1"/>
    </xf>
    <xf numFmtId="0" fontId="4" fillId="21" borderId="42" xfId="0" applyFont="1" applyFill="1" applyBorder="1" applyAlignment="1" applyProtection="1">
      <alignment horizontal="center" vertical="center"/>
      <protection hidden="1"/>
    </xf>
    <xf numFmtId="0" fontId="4" fillId="21" borderId="43" xfId="0" applyFont="1" applyFill="1" applyBorder="1" applyAlignment="1" applyProtection="1">
      <alignment horizontal="center" vertical="center"/>
      <protection hidden="1"/>
    </xf>
    <xf numFmtId="0" fontId="4" fillId="2" borderId="53"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58" xfId="0" applyFont="1" applyFill="1" applyBorder="1" applyAlignment="1" applyProtection="1">
      <alignment horizontal="center" vertical="center"/>
      <protection hidden="1"/>
    </xf>
    <xf numFmtId="0" fontId="1" fillId="2" borderId="55" xfId="0" applyFont="1" applyFill="1" applyBorder="1" applyAlignment="1" applyProtection="1">
      <alignment horizontal="center" vertical="center"/>
      <protection locked="0" hidden="1"/>
    </xf>
    <xf numFmtId="0" fontId="1" fillId="2" borderId="57" xfId="0" applyFont="1" applyFill="1" applyBorder="1" applyAlignment="1" applyProtection="1">
      <alignment horizontal="center" vertical="center"/>
      <protection locked="0" hidden="1"/>
    </xf>
    <xf numFmtId="0" fontId="9" fillId="2" borderId="0"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1" fillId="2" borderId="42" xfId="0" applyFont="1" applyFill="1" applyBorder="1" applyAlignment="1" applyProtection="1">
      <alignment horizontal="center" vertical="center"/>
      <protection locked="0" hidden="1"/>
    </xf>
    <xf numFmtId="0" fontId="1" fillId="2" borderId="43" xfId="0" applyFont="1" applyFill="1" applyBorder="1" applyAlignment="1" applyProtection="1">
      <alignment horizontal="center" vertical="center"/>
      <protection locked="0" hidden="1"/>
    </xf>
    <xf numFmtId="0" fontId="8" fillId="2" borderId="53" xfId="0" applyFont="1" applyFill="1" applyBorder="1" applyAlignment="1" applyProtection="1">
      <alignment horizontal="left" vertical="center" shrinkToFit="1"/>
      <protection locked="0" hidden="1"/>
    </xf>
    <xf numFmtId="0" fontId="8" fillId="2" borderId="52" xfId="0" applyFont="1" applyFill="1" applyBorder="1" applyAlignment="1" applyProtection="1">
      <alignment horizontal="left" vertical="center" shrinkToFit="1"/>
      <protection locked="0" hidden="1"/>
    </xf>
    <xf numFmtId="0" fontId="8" fillId="2" borderId="40" xfId="0" applyFont="1" applyFill="1" applyBorder="1" applyAlignment="1" applyProtection="1">
      <alignment horizontal="left" vertical="center" shrinkToFit="1"/>
      <protection locked="0" hidden="1"/>
    </xf>
    <xf numFmtId="0" fontId="8" fillId="2" borderId="20" xfId="0" applyFont="1" applyFill="1" applyBorder="1" applyAlignment="1" applyProtection="1">
      <alignment horizontal="left" vertical="center" shrinkToFit="1"/>
      <protection locked="0" hidden="1"/>
    </xf>
    <xf numFmtId="0" fontId="8" fillId="2" borderId="41" xfId="0" applyFont="1" applyFill="1" applyBorder="1" applyAlignment="1" applyProtection="1">
      <alignment horizontal="left" vertical="center" shrinkToFit="1"/>
      <protection locked="0" hidden="1"/>
    </xf>
    <xf numFmtId="0" fontId="7" fillId="22" borderId="39" xfId="0" applyFont="1" applyFill="1" applyBorder="1" applyAlignment="1" applyProtection="1">
      <alignment horizontal="left" vertical="center"/>
      <protection hidden="1"/>
    </xf>
    <xf numFmtId="0" fontId="7" fillId="22" borderId="42" xfId="0" applyFont="1" applyFill="1" applyBorder="1" applyAlignment="1" applyProtection="1">
      <alignment horizontal="left" vertical="center"/>
      <protection hidden="1"/>
    </xf>
    <xf numFmtId="0" fontId="8" fillId="6" borderId="53" xfId="1" applyFont="1" applyFill="1" applyBorder="1" applyAlignment="1" applyProtection="1">
      <alignment horizontal="left" vertical="center" shrinkToFit="1"/>
      <protection locked="0" hidden="1"/>
    </xf>
    <xf numFmtId="0" fontId="8" fillId="6" borderId="20" xfId="1" applyFont="1" applyFill="1" applyBorder="1" applyAlignment="1" applyProtection="1">
      <alignment horizontal="left" vertical="center" shrinkToFit="1"/>
      <protection locked="0" hidden="1"/>
    </xf>
    <xf numFmtId="0" fontId="2" fillId="2" borderId="27" xfId="0" applyFont="1" applyFill="1" applyBorder="1" applyAlignment="1" applyProtection="1">
      <alignment horizontal="left"/>
      <protection hidden="1"/>
    </xf>
    <xf numFmtId="0" fontId="2" fillId="2" borderId="28" xfId="0" applyFont="1" applyFill="1" applyBorder="1" applyAlignment="1" applyProtection="1">
      <alignment horizontal="left"/>
      <protection hidden="1"/>
    </xf>
    <xf numFmtId="0" fontId="2" fillId="2" borderId="30" xfId="0"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0" fontId="1" fillId="2" borderId="53" xfId="0" applyFont="1" applyFill="1" applyBorder="1" applyAlignment="1" applyProtection="1">
      <alignment horizontal="left" vertical="center"/>
      <protection hidden="1"/>
    </xf>
    <xf numFmtId="0" fontId="1" fillId="2" borderId="20" xfId="0" applyFont="1" applyFill="1" applyBorder="1" applyAlignment="1" applyProtection="1">
      <alignment horizontal="left" vertical="center"/>
      <protection hidden="1"/>
    </xf>
    <xf numFmtId="0" fontId="1" fillId="2" borderId="74" xfId="0" applyFont="1" applyFill="1" applyBorder="1" applyAlignment="1" applyProtection="1">
      <alignment horizontal="left" vertical="center"/>
      <protection hidden="1"/>
    </xf>
    <xf numFmtId="0" fontId="1" fillId="2" borderId="21" xfId="0" applyFont="1" applyFill="1" applyBorder="1" applyAlignment="1" applyProtection="1">
      <alignment horizontal="left" vertical="center"/>
      <protection hidden="1"/>
    </xf>
    <xf numFmtId="0" fontId="1" fillId="2" borderId="61" xfId="0" applyFont="1" applyFill="1" applyBorder="1" applyAlignment="1" applyProtection="1">
      <alignment horizontal="left" vertical="center"/>
      <protection hidden="1"/>
    </xf>
    <xf numFmtId="0" fontId="1" fillId="2" borderId="5" xfId="0" applyFont="1" applyFill="1" applyBorder="1" applyAlignment="1" applyProtection="1">
      <alignment horizontal="left" vertical="center"/>
      <protection hidden="1"/>
    </xf>
    <xf numFmtId="0" fontId="1" fillId="2" borderId="45" xfId="0" applyFont="1" applyFill="1" applyBorder="1" applyAlignment="1" applyProtection="1">
      <alignment horizontal="left" vertical="center"/>
      <protection hidden="1"/>
    </xf>
    <xf numFmtId="0" fontId="1" fillId="2" borderId="18" xfId="0" applyFont="1" applyFill="1" applyBorder="1" applyAlignment="1" applyProtection="1">
      <alignment horizontal="left" vertical="center"/>
      <protection hidden="1"/>
    </xf>
    <xf numFmtId="0" fontId="7" fillId="22" borderId="39" xfId="0" applyFont="1" applyFill="1" applyBorder="1" applyAlignment="1" applyProtection="1">
      <alignment horizontal="left" vertical="center" shrinkToFit="1"/>
      <protection hidden="1"/>
    </xf>
    <xf numFmtId="0" fontId="7" fillId="22" borderId="42" xfId="0" applyFont="1" applyFill="1" applyBorder="1" applyAlignment="1" applyProtection="1">
      <alignment horizontal="left" vertical="center" shrinkToFit="1"/>
      <protection hidden="1"/>
    </xf>
    <xf numFmtId="0" fontId="7" fillId="2" borderId="53" xfId="0" applyFont="1" applyFill="1" applyBorder="1" applyAlignment="1" applyProtection="1">
      <alignment horizontal="left" vertical="center"/>
      <protection hidden="1"/>
    </xf>
    <xf numFmtId="0" fontId="7" fillId="2" borderId="20" xfId="0" applyFont="1" applyFill="1" applyBorder="1" applyAlignment="1" applyProtection="1">
      <alignment horizontal="left" vertical="center"/>
      <protection hidden="1"/>
    </xf>
    <xf numFmtId="0" fontId="10" fillId="2" borderId="33" xfId="0" applyFont="1" applyFill="1" applyBorder="1" applyAlignment="1" applyProtection="1">
      <alignment horizontal="right" vertical="center" shrinkToFit="1"/>
      <protection hidden="1"/>
    </xf>
    <xf numFmtId="0" fontId="9" fillId="2" borderId="30"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11" fillId="2" borderId="33" xfId="0" applyFont="1" applyFill="1" applyBorder="1" applyAlignment="1" applyProtection="1">
      <alignment horizontal="left" vertical="center"/>
      <protection hidden="1"/>
    </xf>
    <xf numFmtId="0" fontId="9" fillId="2" borderId="38" xfId="0" applyFont="1" applyFill="1" applyBorder="1" applyAlignment="1" applyProtection="1">
      <alignment horizontal="center" vertical="center"/>
      <protection hidden="1"/>
    </xf>
    <xf numFmtId="0" fontId="1" fillId="2" borderId="30" xfId="0" applyFont="1" applyFill="1" applyBorder="1" applyAlignment="1" applyProtection="1">
      <alignment horizontal="left" vertical="center"/>
      <protection hidden="1"/>
    </xf>
    <xf numFmtId="0" fontId="1" fillId="2" borderId="0" xfId="0" applyFont="1" applyFill="1" applyBorder="1" applyAlignment="1" applyProtection="1">
      <alignment horizontal="left" vertical="center"/>
      <protection hidden="1"/>
    </xf>
    <xf numFmtId="0" fontId="27" fillId="2" borderId="45" xfId="0" applyFont="1" applyFill="1" applyBorder="1" applyAlignment="1" applyProtection="1">
      <alignment horizontal="left" vertical="center"/>
      <protection hidden="1"/>
    </xf>
    <xf numFmtId="0" fontId="27" fillId="2" borderId="52" xfId="0" applyFont="1" applyFill="1" applyBorder="1" applyAlignment="1" applyProtection="1">
      <alignment horizontal="left" vertical="center"/>
      <protection hidden="1"/>
    </xf>
    <xf numFmtId="0" fontId="27" fillId="2" borderId="37" xfId="0" applyFont="1" applyFill="1" applyBorder="1" applyAlignment="1" applyProtection="1">
      <alignment horizontal="left" vertical="center" shrinkToFit="1"/>
      <protection hidden="1"/>
    </xf>
    <xf numFmtId="0" fontId="26" fillId="2" borderId="18" xfId="0" applyFont="1" applyFill="1" applyBorder="1" applyAlignment="1" applyProtection="1">
      <alignment horizontal="left" vertical="center" shrinkToFit="1"/>
      <protection hidden="1"/>
    </xf>
    <xf numFmtId="0" fontId="27" fillId="2" borderId="18" xfId="0" applyFont="1" applyFill="1" applyBorder="1" applyAlignment="1" applyProtection="1">
      <alignment horizontal="left" vertical="center" shrinkToFit="1"/>
      <protection hidden="1"/>
    </xf>
    <xf numFmtId="0" fontId="2" fillId="2" borderId="29" xfId="0" applyFont="1" applyFill="1" applyBorder="1" applyAlignment="1" applyProtection="1">
      <alignment horizontal="left" vertical="center"/>
      <protection hidden="1"/>
    </xf>
    <xf numFmtId="0" fontId="2" fillId="2" borderId="31" xfId="0" applyFont="1" applyFill="1" applyBorder="1" applyAlignment="1" applyProtection="1">
      <alignment horizontal="left" vertical="center"/>
      <protection hidden="1"/>
    </xf>
    <xf numFmtId="0" fontId="11" fillId="2" borderId="32" xfId="0" applyFont="1" applyFill="1" applyBorder="1" applyAlignment="1" applyProtection="1">
      <alignment horizontal="right" vertical="center"/>
      <protection hidden="1"/>
    </xf>
    <xf numFmtId="0" fontId="11" fillId="2" borderId="33" xfId="0" applyFont="1" applyFill="1" applyBorder="1" applyAlignment="1" applyProtection="1">
      <alignment horizontal="right" vertical="center"/>
      <protection hidden="1"/>
    </xf>
    <xf numFmtId="0" fontId="2" fillId="22" borderId="27" xfId="0" applyFont="1" applyFill="1" applyBorder="1" applyAlignment="1" applyProtection="1">
      <alignment horizontal="left" vertical="center"/>
      <protection hidden="1"/>
    </xf>
    <xf numFmtId="0" fontId="2" fillId="22" borderId="28" xfId="0" applyFont="1" applyFill="1" applyBorder="1" applyAlignment="1" applyProtection="1">
      <alignment horizontal="left" vertical="center"/>
      <protection hidden="1"/>
    </xf>
    <xf numFmtId="0" fontId="2" fillId="22" borderId="29" xfId="0" applyFont="1" applyFill="1" applyBorder="1" applyAlignment="1" applyProtection="1">
      <alignment horizontal="left" vertical="center"/>
      <protection hidden="1"/>
    </xf>
    <xf numFmtId="0" fontId="2" fillId="22" borderId="30" xfId="0" applyFont="1" applyFill="1" applyBorder="1" applyAlignment="1" applyProtection="1">
      <alignment horizontal="left" vertical="center"/>
      <protection hidden="1"/>
    </xf>
    <xf numFmtId="0" fontId="2" fillId="22" borderId="0" xfId="0" applyFont="1" applyFill="1" applyBorder="1" applyAlignment="1" applyProtection="1">
      <alignment horizontal="left" vertical="center"/>
      <protection hidden="1"/>
    </xf>
    <xf numFmtId="0" fontId="2" fillId="22" borderId="31" xfId="0" applyFont="1" applyFill="1" applyBorder="1" applyAlignment="1" applyProtection="1">
      <alignment horizontal="left" vertical="center"/>
      <protection hidden="1"/>
    </xf>
    <xf numFmtId="0" fontId="1" fillId="22" borderId="40" xfId="0" applyFont="1" applyFill="1" applyBorder="1" applyAlignment="1" applyProtection="1">
      <alignment horizontal="left" shrinkToFit="1"/>
      <protection hidden="1"/>
    </xf>
    <xf numFmtId="0" fontId="1" fillId="22" borderId="58" xfId="0" applyFont="1" applyFill="1" applyBorder="1" applyAlignment="1" applyProtection="1">
      <alignment horizontal="left" shrinkToFit="1"/>
      <protection hidden="1"/>
    </xf>
    <xf numFmtId="0" fontId="1" fillId="2" borderId="60" xfId="0" applyFont="1" applyFill="1" applyBorder="1" applyAlignment="1" applyProtection="1">
      <alignment horizontal="left" vertical="center"/>
      <protection hidden="1"/>
    </xf>
    <xf numFmtId="0" fontId="1" fillId="2" borderId="25" xfId="0" applyFont="1" applyFill="1" applyBorder="1" applyAlignment="1" applyProtection="1">
      <alignment horizontal="left" vertical="center"/>
      <protection hidden="1"/>
    </xf>
    <xf numFmtId="0" fontId="2" fillId="2" borderId="45" xfId="0" applyFont="1" applyFill="1" applyBorder="1" applyAlignment="1" applyProtection="1">
      <alignment horizontal="left" vertical="center"/>
      <protection hidden="1"/>
    </xf>
    <xf numFmtId="0" fontId="2" fillId="2" borderId="38" xfId="0" applyFont="1" applyFill="1" applyBorder="1" applyAlignment="1" applyProtection="1">
      <alignment horizontal="left" vertical="center"/>
      <protection hidden="1"/>
    </xf>
    <xf numFmtId="0" fontId="8" fillId="6" borderId="40" xfId="1" applyFont="1" applyFill="1" applyBorder="1" applyAlignment="1" applyProtection="1">
      <alignment horizontal="center" vertical="center"/>
      <protection locked="0" hidden="1"/>
    </xf>
    <xf numFmtId="0" fontId="8" fillId="6" borderId="20" xfId="1" applyFont="1" applyFill="1" applyBorder="1" applyAlignment="1" applyProtection="1">
      <alignment horizontal="center" vertical="center"/>
      <protection locked="0" hidden="1"/>
    </xf>
    <xf numFmtId="0" fontId="8" fillId="6" borderId="41" xfId="1" applyFont="1" applyFill="1" applyBorder="1" applyAlignment="1" applyProtection="1">
      <alignment horizontal="center" vertical="center"/>
      <protection locked="0" hidden="1"/>
    </xf>
    <xf numFmtId="0" fontId="4" fillId="2" borderId="28" xfId="0" applyFont="1" applyFill="1" applyBorder="1" applyAlignment="1" applyProtection="1">
      <alignment horizontal="center" vertical="center"/>
      <protection hidden="1"/>
    </xf>
    <xf numFmtId="0" fontId="9" fillId="2" borderId="37"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20" xfId="0" applyFont="1" applyFill="1" applyBorder="1" applyAlignment="1" applyProtection="1">
      <alignment horizontal="left" vertical="center"/>
      <protection hidden="1"/>
    </xf>
    <xf numFmtId="0" fontId="1" fillId="0" borderId="39" xfId="0" applyFont="1" applyBorder="1" applyAlignment="1" applyProtection="1">
      <alignment horizontal="left" vertical="center"/>
      <protection hidden="1"/>
    </xf>
    <xf numFmtId="0" fontId="1" fillId="0" borderId="42" xfId="0" applyFont="1" applyBorder="1" applyAlignment="1" applyProtection="1">
      <alignment horizontal="left" vertical="center"/>
      <protection hidden="1"/>
    </xf>
    <xf numFmtId="0" fontId="8" fillId="2" borderId="25" xfId="0" applyFont="1" applyFill="1" applyBorder="1" applyAlignment="1" applyProtection="1">
      <alignment horizontal="center" vertical="center"/>
      <protection hidden="1"/>
    </xf>
    <xf numFmtId="0" fontId="11" fillId="2" borderId="46" xfId="0" applyFont="1" applyFill="1" applyBorder="1" applyAlignment="1" applyProtection="1">
      <alignment horizontal="left" vertical="center"/>
      <protection hidden="1"/>
    </xf>
    <xf numFmtId="0" fontId="11" fillId="2" borderId="46" xfId="0" applyFont="1" applyFill="1" applyBorder="1" applyAlignment="1" applyProtection="1">
      <alignment horizontal="right" vertical="center"/>
      <protection hidden="1"/>
    </xf>
    <xf numFmtId="0" fontId="1" fillId="2" borderId="39" xfId="0" applyFont="1" applyFill="1" applyBorder="1" applyAlignment="1" applyProtection="1">
      <alignment horizontal="left" vertical="center"/>
      <protection hidden="1"/>
    </xf>
    <xf numFmtId="0" fontId="1" fillId="2" borderId="42" xfId="0" applyFont="1" applyFill="1"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10" fillId="2" borderId="25" xfId="0" applyFont="1" applyFill="1" applyBorder="1" applyAlignment="1" applyProtection="1">
      <alignment horizontal="left" vertical="center"/>
      <protection hidden="1"/>
    </xf>
    <xf numFmtId="0" fontId="1" fillId="2" borderId="46" xfId="0" applyFont="1" applyFill="1" applyBorder="1" applyAlignment="1" applyProtection="1">
      <alignment horizontal="left" vertical="center"/>
      <protection hidden="1"/>
    </xf>
    <xf numFmtId="0" fontId="3" fillId="2" borderId="0" xfId="0" applyFont="1" applyFill="1" applyBorder="1" applyAlignment="1" applyProtection="1">
      <alignment horizontal="right" vertical="center"/>
      <protection hidden="1"/>
    </xf>
    <xf numFmtId="0" fontId="19" fillId="2" borderId="20" xfId="0" applyFont="1" applyFill="1" applyBorder="1" applyAlignment="1" applyProtection="1">
      <alignment horizontal="left" vertical="center"/>
      <protection hidden="1"/>
    </xf>
    <xf numFmtId="0" fontId="3" fillId="12" borderId="48" xfId="0" applyFont="1" applyFill="1" applyBorder="1" applyAlignment="1" applyProtection="1">
      <alignment horizontal="center" vertical="center" wrapText="1"/>
      <protection hidden="1"/>
    </xf>
    <xf numFmtId="0" fontId="0" fillId="12" borderId="51" xfId="0" applyFill="1" applyBorder="1" applyAlignment="1" applyProtection="1">
      <alignment horizontal="center" vertical="center" wrapText="1"/>
      <protection hidden="1"/>
    </xf>
    <xf numFmtId="0" fontId="0" fillId="12" borderId="36" xfId="0"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31" xfId="0" applyFont="1" applyFill="1" applyBorder="1" applyAlignment="1" applyProtection="1">
      <alignment horizontal="center" vertical="center" wrapText="1"/>
      <protection hidden="1"/>
    </xf>
    <xf numFmtId="0" fontId="9" fillId="2" borderId="18" xfId="0" applyFont="1" applyFill="1" applyBorder="1" applyAlignment="1" applyProtection="1">
      <alignment horizontal="center" vertical="center" wrapText="1"/>
      <protection hidden="1"/>
    </xf>
    <xf numFmtId="0" fontId="9" fillId="2" borderId="38" xfId="0" applyFont="1" applyFill="1" applyBorder="1" applyAlignment="1" applyProtection="1">
      <alignment horizontal="center" vertical="center" wrapText="1"/>
      <protection hidden="1"/>
    </xf>
    <xf numFmtId="0" fontId="9" fillId="2" borderId="36" xfId="0" applyFont="1" applyFill="1" applyBorder="1" applyAlignment="1" applyProtection="1">
      <alignment horizontal="center" vertical="center"/>
      <protection hidden="1"/>
    </xf>
    <xf numFmtId="0" fontId="9" fillId="2" borderId="52"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2" xfId="0" applyFont="1" applyFill="1" applyBorder="1" applyAlignment="1" applyProtection="1">
      <alignment horizontal="center" vertical="center"/>
      <protection hidden="1"/>
    </xf>
    <xf numFmtId="0" fontId="4" fillId="2" borderId="43" xfId="0" applyFont="1" applyFill="1" applyBorder="1" applyAlignment="1" applyProtection="1">
      <alignment horizontal="center" vertical="center"/>
      <protection hidden="1"/>
    </xf>
    <xf numFmtId="0" fontId="1" fillId="2" borderId="83" xfId="0" applyFont="1" applyFill="1" applyBorder="1" applyAlignment="1" applyProtection="1">
      <alignment horizontal="center" vertical="center"/>
      <protection hidden="1"/>
    </xf>
    <xf numFmtId="0" fontId="1" fillId="2" borderId="55" xfId="0" applyFont="1" applyFill="1" applyBorder="1" applyAlignment="1" applyProtection="1">
      <alignment horizontal="center" vertical="center"/>
      <protection hidden="1"/>
    </xf>
    <xf numFmtId="0" fontId="1" fillId="2" borderId="55" xfId="0" applyFont="1" applyFill="1" applyBorder="1" applyAlignment="1" applyProtection="1">
      <alignment horizontal="left" vertical="center"/>
      <protection locked="0" hidden="1"/>
    </xf>
    <xf numFmtId="0" fontId="1" fillId="2" borderId="57" xfId="0" applyFont="1" applyFill="1" applyBorder="1" applyAlignment="1" applyProtection="1">
      <alignment horizontal="left" vertical="center"/>
      <protection locked="0" hidden="1"/>
    </xf>
    <xf numFmtId="0" fontId="1" fillId="2" borderId="41" xfId="0" applyFont="1" applyFill="1" applyBorder="1" applyAlignment="1" applyProtection="1">
      <alignment horizontal="center" vertical="center"/>
      <protection hidden="1"/>
    </xf>
    <xf numFmtId="0" fontId="1" fillId="2" borderId="42" xfId="0" applyFont="1" applyFill="1" applyBorder="1" applyAlignment="1" applyProtection="1">
      <alignment horizontal="center" vertical="center"/>
      <protection hidden="1"/>
    </xf>
    <xf numFmtId="0" fontId="1" fillId="2" borderId="42" xfId="0" applyFont="1" applyFill="1" applyBorder="1" applyAlignment="1" applyProtection="1">
      <alignment horizontal="left" vertical="center"/>
      <protection locked="0" hidden="1"/>
    </xf>
    <xf numFmtId="0" fontId="1" fillId="2" borderId="43" xfId="0" applyFont="1" applyFill="1" applyBorder="1" applyAlignment="1" applyProtection="1">
      <alignment horizontal="left" vertical="center"/>
      <protection locked="0" hidden="1"/>
    </xf>
    <xf numFmtId="0" fontId="1" fillId="2" borderId="40" xfId="0" applyFont="1" applyFill="1" applyBorder="1" applyAlignment="1" applyProtection="1">
      <alignment horizontal="left" vertical="center"/>
      <protection hidden="1"/>
    </xf>
    <xf numFmtId="0" fontId="29" fillId="2" borderId="20" xfId="0" applyFont="1" applyFill="1" applyBorder="1" applyAlignment="1" applyProtection="1">
      <alignment horizontal="right" vertical="center"/>
      <protection hidden="1"/>
    </xf>
    <xf numFmtId="0" fontId="3" fillId="2" borderId="25" xfId="0" applyFont="1" applyFill="1" applyBorder="1" applyAlignment="1" applyProtection="1">
      <alignment horizontal="right" vertical="center"/>
      <protection hidden="1"/>
    </xf>
    <xf numFmtId="0" fontId="3" fillId="5" borderId="27" xfId="0" applyFont="1" applyFill="1" applyBorder="1" applyAlignment="1" applyProtection="1">
      <alignment horizontal="center" vertical="center" wrapText="1"/>
      <protection hidden="1"/>
    </xf>
    <xf numFmtId="0" fontId="3" fillId="5" borderId="28" xfId="0" applyFont="1" applyFill="1" applyBorder="1" applyAlignment="1" applyProtection="1">
      <alignment horizontal="center" vertical="center" wrapText="1"/>
      <protection hidden="1"/>
    </xf>
    <xf numFmtId="0" fontId="3" fillId="5" borderId="29" xfId="0" applyFont="1" applyFill="1" applyBorder="1" applyAlignment="1" applyProtection="1">
      <alignment horizontal="center" vertical="center" wrapText="1"/>
      <protection hidden="1"/>
    </xf>
    <xf numFmtId="0" fontId="3" fillId="5" borderId="30" xfId="0" applyFont="1" applyFill="1" applyBorder="1" applyAlignment="1" applyProtection="1">
      <alignment horizontal="center" vertical="center" wrapText="1"/>
      <protection hidden="1"/>
    </xf>
    <xf numFmtId="0" fontId="3" fillId="5" borderId="0" xfId="0" applyFont="1" applyFill="1" applyBorder="1" applyAlignment="1" applyProtection="1">
      <alignment horizontal="center" vertical="center" wrapText="1"/>
      <protection hidden="1"/>
    </xf>
    <xf numFmtId="0" fontId="3" fillId="5" borderId="31" xfId="0" applyFont="1" applyFill="1" applyBorder="1" applyAlignment="1" applyProtection="1">
      <alignment horizontal="center" vertical="center" wrapText="1"/>
      <protection hidden="1"/>
    </xf>
    <xf numFmtId="0" fontId="3" fillId="5" borderId="32" xfId="0" applyFont="1" applyFill="1" applyBorder="1" applyAlignment="1" applyProtection="1">
      <alignment horizontal="center" vertical="center" wrapText="1"/>
      <protection hidden="1"/>
    </xf>
    <xf numFmtId="0" fontId="3" fillId="5" borderId="33" xfId="0" applyFont="1" applyFill="1" applyBorder="1" applyAlignment="1" applyProtection="1">
      <alignment horizontal="center" vertical="center" wrapText="1"/>
      <protection hidden="1"/>
    </xf>
    <xf numFmtId="0" fontId="3" fillId="5" borderId="34" xfId="0" applyFont="1" applyFill="1" applyBorder="1" applyAlignment="1" applyProtection="1">
      <alignment horizontal="center" vertical="center" wrapText="1"/>
      <protection hidden="1"/>
    </xf>
    <xf numFmtId="0" fontId="1" fillId="6" borderId="25" xfId="0" applyFont="1" applyFill="1" applyBorder="1" applyAlignment="1" applyProtection="1">
      <alignment horizontal="left" vertical="center"/>
      <protection locked="0" hidden="1"/>
    </xf>
    <xf numFmtId="0" fontId="9" fillId="0" borderId="18" xfId="0" applyFont="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 fillId="2" borderId="0"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6" borderId="46" xfId="0" applyFont="1" applyFill="1" applyBorder="1" applyAlignment="1" applyProtection="1">
      <alignment horizontal="left" vertical="center"/>
      <protection locked="0" hidden="1"/>
    </xf>
    <xf numFmtId="0" fontId="1" fillId="2" borderId="30" xfId="0" applyFont="1" applyFill="1" applyBorder="1" applyAlignment="1" applyProtection="1">
      <alignment horizontal="right" vertical="center"/>
      <protection hidden="1"/>
    </xf>
    <xf numFmtId="0" fontId="1" fillId="2" borderId="0" xfId="0" applyFont="1" applyFill="1" applyBorder="1" applyAlignment="1" applyProtection="1">
      <alignment horizontal="right" vertical="center"/>
      <protection hidden="1"/>
    </xf>
    <xf numFmtId="0" fontId="1" fillId="2" borderId="32" xfId="0" applyFont="1" applyFill="1" applyBorder="1" applyAlignment="1" applyProtection="1">
      <alignment horizontal="right" vertical="center"/>
      <protection hidden="1"/>
    </xf>
    <xf numFmtId="0" fontId="1" fillId="2" borderId="33" xfId="0" applyFont="1" applyFill="1" applyBorder="1" applyAlignment="1" applyProtection="1">
      <alignment horizontal="right" vertical="center"/>
      <protection hidden="1"/>
    </xf>
    <xf numFmtId="0" fontId="1" fillId="6" borderId="33" xfId="0" applyFont="1" applyFill="1" applyBorder="1" applyAlignment="1" applyProtection="1">
      <alignment horizontal="left" vertical="center"/>
      <protection locked="0" hidden="1"/>
    </xf>
    <xf numFmtId="0" fontId="1" fillId="6" borderId="34" xfId="0" applyFont="1" applyFill="1" applyBorder="1" applyAlignment="1" applyProtection="1">
      <alignment horizontal="left" vertical="center"/>
      <protection locked="0" hidden="1"/>
    </xf>
    <xf numFmtId="0" fontId="3" fillId="2" borderId="20" xfId="0" applyFont="1" applyFill="1" applyBorder="1" applyAlignment="1" applyProtection="1">
      <alignment horizontal="right" vertical="center"/>
      <protection hidden="1"/>
    </xf>
    <xf numFmtId="0" fontId="27" fillId="2" borderId="18" xfId="0" applyFont="1" applyFill="1" applyBorder="1" applyAlignment="1" applyProtection="1">
      <alignment horizontal="left" vertical="center"/>
      <protection hidden="1"/>
    </xf>
    <xf numFmtId="0" fontId="27" fillId="2" borderId="26" xfId="0" applyFont="1" applyFill="1" applyBorder="1" applyAlignment="1" applyProtection="1">
      <alignment horizontal="center"/>
      <protection hidden="1"/>
    </xf>
    <xf numFmtId="0" fontId="22" fillId="2" borderId="31" xfId="0" applyFont="1" applyFill="1" applyBorder="1" applyAlignment="1" applyProtection="1">
      <protection hidden="1"/>
    </xf>
    <xf numFmtId="0" fontId="24" fillId="2" borderId="27" xfId="0" applyFont="1" applyFill="1" applyBorder="1" applyAlignment="1" applyProtection="1">
      <alignment horizontal="center" vertical="center"/>
      <protection hidden="1"/>
    </xf>
    <xf numFmtId="0" fontId="24" fillId="2" borderId="28" xfId="0" applyFont="1" applyFill="1" applyBorder="1" applyAlignment="1" applyProtection="1">
      <alignment horizontal="center" vertical="center"/>
      <protection hidden="1"/>
    </xf>
    <xf numFmtId="0" fontId="25" fillId="2" borderId="28" xfId="0" applyFont="1" applyFill="1" applyBorder="1" applyAlignment="1" applyProtection="1">
      <alignment horizontal="center" vertical="center"/>
      <protection hidden="1"/>
    </xf>
    <xf numFmtId="0" fontId="25" fillId="2" borderId="30"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2" borderId="56" xfId="0" applyFont="1" applyFill="1" applyBorder="1" applyAlignment="1" applyProtection="1">
      <alignment horizontal="left" shrinkToFit="1"/>
      <protection hidden="1"/>
    </xf>
    <xf numFmtId="0" fontId="1" fillId="22" borderId="47" xfId="0" applyFont="1" applyFill="1" applyBorder="1" applyAlignment="1" applyProtection="1">
      <alignment horizontal="left" shrinkToFit="1"/>
      <protection hidden="1"/>
    </xf>
    <xf numFmtId="0" fontId="9" fillId="2" borderId="40" xfId="0" applyFont="1" applyFill="1" applyBorder="1" applyAlignment="1" applyProtection="1">
      <alignment horizontal="left" vertical="center"/>
      <protection hidden="1"/>
    </xf>
    <xf numFmtId="0" fontId="24" fillId="2" borderId="27" xfId="0" applyFont="1" applyFill="1" applyBorder="1" applyAlignment="1" applyProtection="1">
      <protection hidden="1"/>
    </xf>
    <xf numFmtId="0" fontId="24" fillId="2" borderId="28" xfId="0" applyFont="1" applyFill="1" applyBorder="1" applyAlignment="1" applyProtection="1">
      <protection hidden="1"/>
    </xf>
    <xf numFmtId="0" fontId="38" fillId="2" borderId="30" xfId="0" applyFont="1" applyFill="1" applyBorder="1" applyAlignment="1" applyProtection="1">
      <protection hidden="1"/>
    </xf>
    <xf numFmtId="0" fontId="38" fillId="2" borderId="0" xfId="0" applyFont="1" applyFill="1" applyBorder="1" applyAlignment="1" applyProtection="1">
      <protection hidden="1"/>
    </xf>
    <xf numFmtId="0" fontId="24" fillId="2" borderId="0" xfId="0" applyFont="1" applyFill="1" applyBorder="1" applyAlignment="1" applyProtection="1">
      <protection hidden="1"/>
    </xf>
    <xf numFmtId="0" fontId="1" fillId="6" borderId="41" xfId="0" applyFont="1" applyFill="1" applyBorder="1" applyAlignment="1" applyProtection="1">
      <alignment horizontal="left" vertical="center" shrinkToFit="1"/>
      <protection locked="0" hidden="1"/>
    </xf>
    <xf numFmtId="0" fontId="40" fillId="0" borderId="40" xfId="0" applyFont="1" applyBorder="1" applyAlignment="1" applyProtection="1">
      <alignment horizontal="center" vertical="center" shrinkToFit="1"/>
      <protection hidden="1"/>
    </xf>
    <xf numFmtId="0" fontId="7" fillId="0" borderId="58" xfId="0" applyFont="1" applyBorder="1" applyAlignment="1" applyProtection="1">
      <alignment horizontal="center" vertical="center" shrinkToFit="1"/>
      <protection hidden="1"/>
    </xf>
    <xf numFmtId="0" fontId="24" fillId="2" borderId="27" xfId="0" applyFont="1" applyFill="1" applyBorder="1" applyAlignment="1" applyProtection="1">
      <alignment vertical="center" shrinkToFit="1"/>
      <protection hidden="1"/>
    </xf>
    <xf numFmtId="0" fontId="24" fillId="2" borderId="28" xfId="0" applyFont="1" applyFill="1" applyBorder="1" applyAlignment="1" applyProtection="1">
      <alignment vertical="center" shrinkToFit="1"/>
      <protection hidden="1"/>
    </xf>
    <xf numFmtId="0" fontId="24" fillId="2" borderId="30" xfId="0" applyFont="1" applyFill="1" applyBorder="1" applyAlignment="1" applyProtection="1">
      <alignment vertical="center" shrinkToFit="1"/>
      <protection hidden="1"/>
    </xf>
    <xf numFmtId="0" fontId="24" fillId="2" borderId="0" xfId="0" applyFont="1" applyFill="1" applyBorder="1" applyAlignment="1" applyProtection="1">
      <alignment vertical="center" shrinkToFit="1"/>
      <protection hidden="1"/>
    </xf>
    <xf numFmtId="0" fontId="27" fillId="2" borderId="0" xfId="0" applyFont="1" applyFill="1" applyBorder="1" applyAlignment="1" applyProtection="1">
      <alignment horizontal="center" vertical="center"/>
      <protection hidden="1"/>
    </xf>
    <xf numFmtId="0" fontId="39" fillId="2" borderId="31" xfId="0" applyFont="1" applyFill="1" applyBorder="1" applyAlignment="1" applyProtection="1">
      <alignment horizontal="center" vertical="center"/>
      <protection hidden="1"/>
    </xf>
    <xf numFmtId="0" fontId="27" fillId="2" borderId="45" xfId="0" applyFont="1" applyFill="1" applyBorder="1" applyAlignment="1" applyProtection="1">
      <alignment horizontal="left" vertical="center" shrinkToFit="1"/>
      <protection hidden="1"/>
    </xf>
    <xf numFmtId="0" fontId="27" fillId="2" borderId="38" xfId="0" applyFont="1" applyFill="1" applyBorder="1" applyAlignment="1" applyProtection="1">
      <alignment horizontal="left" vertical="center" shrinkToFit="1"/>
      <protection hidden="1"/>
    </xf>
    <xf numFmtId="0" fontId="1" fillId="6" borderId="54" xfId="0" applyFont="1" applyFill="1" applyBorder="1" applyAlignment="1" applyProtection="1">
      <alignment horizontal="left" vertical="center" shrinkToFit="1"/>
      <protection locked="0" hidden="1"/>
    </xf>
    <xf numFmtId="0" fontId="1" fillId="6" borderId="46" xfId="0" applyFont="1" applyFill="1" applyBorder="1" applyAlignment="1" applyProtection="1">
      <alignment horizontal="left" vertical="center" shrinkToFit="1"/>
      <protection locked="0" hidden="1"/>
    </xf>
    <xf numFmtId="0" fontId="1" fillId="6" borderId="83" xfId="0" applyFont="1" applyFill="1" applyBorder="1" applyAlignment="1" applyProtection="1">
      <alignment horizontal="left" vertical="center" shrinkToFit="1"/>
      <protection locked="0" hidden="1"/>
    </xf>
    <xf numFmtId="0" fontId="1" fillId="6" borderId="56" xfId="0" applyFont="1" applyFill="1" applyBorder="1" applyAlignment="1" applyProtection="1">
      <alignment horizontal="left" vertical="center" shrinkToFit="1"/>
      <protection locked="0" hidden="1"/>
    </xf>
    <xf numFmtId="0" fontId="1" fillId="6" borderId="56" xfId="0" applyFont="1" applyFill="1" applyBorder="1" applyAlignment="1" applyProtection="1">
      <alignment horizontal="center" vertical="center" shrinkToFit="1"/>
      <protection locked="0" hidden="1"/>
    </xf>
    <xf numFmtId="0" fontId="1" fillId="6" borderId="47" xfId="0" applyFont="1" applyFill="1" applyBorder="1" applyAlignment="1" applyProtection="1">
      <alignment horizontal="center" vertical="center" shrinkToFit="1"/>
      <protection locked="0" hidden="1"/>
    </xf>
    <xf numFmtId="0" fontId="22" fillId="6" borderId="53" xfId="0" applyFont="1" applyFill="1" applyBorder="1" applyAlignment="1" applyProtection="1">
      <alignment vertical="center"/>
      <protection locked="0" hidden="1"/>
    </xf>
    <xf numFmtId="0" fontId="22" fillId="6" borderId="20" xfId="0" applyFont="1" applyFill="1" applyBorder="1" applyAlignment="1" applyProtection="1">
      <alignment vertical="center"/>
      <protection locked="0" hidden="1"/>
    </xf>
    <xf numFmtId="0" fontId="1" fillId="5" borderId="2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0" fontId="22" fillId="6" borderId="20" xfId="0" applyFont="1" applyFill="1" applyBorder="1" applyAlignment="1" applyProtection="1">
      <alignment vertical="center" shrinkToFit="1"/>
      <protection locked="0" hidden="1"/>
    </xf>
    <xf numFmtId="0" fontId="22" fillId="6" borderId="58" xfId="0" applyFont="1" applyFill="1" applyBorder="1" applyAlignment="1" applyProtection="1">
      <alignment vertical="center" shrinkToFit="1"/>
      <protection locked="0" hidden="1"/>
    </xf>
    <xf numFmtId="0" fontId="21" fillId="0" borderId="45" xfId="0" applyFont="1" applyBorder="1" applyAlignment="1" applyProtection="1">
      <alignment vertical="center" shrinkToFit="1"/>
      <protection hidden="1"/>
    </xf>
    <xf numFmtId="0" fontId="21" fillId="0" borderId="18" xfId="0" applyFont="1" applyBorder="1" applyAlignment="1" applyProtection="1">
      <alignment vertical="center" shrinkToFit="1"/>
      <protection hidden="1"/>
    </xf>
    <xf numFmtId="0" fontId="21" fillId="0" borderId="53" xfId="0" applyFont="1" applyBorder="1" applyAlignment="1" applyProtection="1">
      <alignment vertical="center" shrinkToFit="1"/>
      <protection hidden="1"/>
    </xf>
    <xf numFmtId="0" fontId="21" fillId="0" borderId="20" xfId="0" applyFont="1" applyBorder="1" applyAlignment="1" applyProtection="1">
      <alignment vertical="center" shrinkToFit="1"/>
      <protection hidden="1"/>
    </xf>
    <xf numFmtId="0" fontId="27" fillId="2" borderId="20" xfId="0" applyFont="1" applyFill="1" applyBorder="1" applyAlignment="1" applyProtection="1">
      <alignment horizontal="center" vertical="center"/>
      <protection hidden="1"/>
    </xf>
    <xf numFmtId="0" fontId="27" fillId="2" borderId="41" xfId="0" applyFont="1" applyFill="1" applyBorder="1" applyAlignment="1" applyProtection="1">
      <alignment horizontal="center" vertical="center"/>
      <protection hidden="1"/>
    </xf>
    <xf numFmtId="0" fontId="22" fillId="6" borderId="54" xfId="0" applyFont="1" applyFill="1" applyBorder="1" applyAlignment="1" applyProtection="1">
      <alignment vertical="center"/>
      <protection locked="0" hidden="1"/>
    </xf>
    <xf numFmtId="0" fontId="22" fillId="6" borderId="46" xfId="0" applyFont="1" applyFill="1" applyBorder="1" applyAlignment="1" applyProtection="1">
      <alignment vertical="center"/>
      <protection locked="0" hidden="1"/>
    </xf>
    <xf numFmtId="0" fontId="19" fillId="2" borderId="50" xfId="0" applyFont="1" applyFill="1" applyBorder="1" applyAlignment="1" applyProtection="1">
      <alignment horizontal="center" vertical="center" wrapText="1"/>
      <protection hidden="1"/>
    </xf>
    <xf numFmtId="0" fontId="19" fillId="2" borderId="49" xfId="0" applyFont="1" applyFill="1" applyBorder="1" applyAlignment="1" applyProtection="1">
      <alignment horizontal="center" vertical="center" wrapText="1"/>
      <protection hidden="1"/>
    </xf>
    <xf numFmtId="0" fontId="19" fillId="2" borderId="37" xfId="0" applyFont="1" applyFill="1" applyBorder="1" applyAlignment="1" applyProtection="1">
      <alignment horizontal="center" vertical="center" wrapText="1"/>
      <protection hidden="1"/>
    </xf>
    <xf numFmtId="0" fontId="19" fillId="2" borderId="52" xfId="0" applyFont="1" applyFill="1" applyBorder="1" applyAlignment="1" applyProtection="1">
      <alignment horizontal="center" vertical="center" wrapText="1"/>
      <protection hidden="1"/>
    </xf>
    <xf numFmtId="0" fontId="27" fillId="2" borderId="37" xfId="0" applyFont="1" applyFill="1" applyBorder="1" applyAlignment="1" applyProtection="1">
      <alignment horizontal="center" vertical="center"/>
      <protection hidden="1"/>
    </xf>
    <xf numFmtId="0" fontId="27" fillId="2" borderId="52" xfId="0" applyFont="1" applyFill="1" applyBorder="1" applyAlignment="1" applyProtection="1">
      <alignment horizontal="center" vertical="center"/>
      <protection hidden="1"/>
    </xf>
    <xf numFmtId="0" fontId="1" fillId="2" borderId="94" xfId="0" applyFont="1" applyFill="1" applyBorder="1" applyAlignment="1" applyProtection="1">
      <alignment horizontal="left" vertical="center"/>
      <protection hidden="1"/>
    </xf>
    <xf numFmtId="0" fontId="1" fillId="2" borderId="22" xfId="0" applyFont="1" applyFill="1" applyBorder="1" applyAlignment="1" applyProtection="1">
      <alignment horizontal="left" vertical="center"/>
      <protection hidden="1"/>
    </xf>
    <xf numFmtId="0" fontId="7" fillId="2" borderId="20" xfId="0" applyFont="1" applyFill="1" applyBorder="1" applyAlignment="1" applyProtection="1">
      <alignment horizontal="left" vertical="center" shrinkToFit="1"/>
      <protection hidden="1"/>
    </xf>
    <xf numFmtId="0" fontId="7" fillId="2" borderId="41" xfId="0" applyFont="1" applyFill="1" applyBorder="1" applyAlignment="1" applyProtection="1">
      <alignment horizontal="left" vertical="center" shrinkToFit="1"/>
      <protection hidden="1"/>
    </xf>
    <xf numFmtId="0" fontId="7" fillId="2" borderId="40" xfId="0" applyFont="1" applyFill="1" applyBorder="1" applyAlignment="1" applyProtection="1">
      <alignment horizontal="left" vertical="center" shrinkToFit="1"/>
      <protection hidden="1"/>
    </xf>
    <xf numFmtId="0" fontId="1" fillId="2" borderId="18" xfId="0" applyFont="1" applyFill="1" applyBorder="1" applyAlignment="1" applyProtection="1">
      <alignment horizontal="left" vertical="center" shrinkToFit="1"/>
      <protection hidden="1"/>
    </xf>
    <xf numFmtId="0" fontId="1" fillId="2" borderId="52" xfId="0" applyFont="1" applyFill="1" applyBorder="1" applyAlignment="1" applyProtection="1">
      <alignment horizontal="left" vertical="center" shrinkToFit="1"/>
      <protection hidden="1"/>
    </xf>
    <xf numFmtId="0" fontId="3" fillId="2" borderId="40" xfId="0" applyFont="1" applyFill="1" applyBorder="1" applyAlignment="1" applyProtection="1">
      <alignment horizontal="left" vertical="center" shrinkToFit="1"/>
      <protection hidden="1"/>
    </xf>
    <xf numFmtId="0" fontId="3" fillId="2" borderId="20" xfId="0" applyFont="1" applyFill="1" applyBorder="1" applyAlignment="1" applyProtection="1">
      <alignment horizontal="left" vertical="center" shrinkToFit="1"/>
      <protection hidden="1"/>
    </xf>
    <xf numFmtId="0" fontId="3" fillId="2" borderId="41" xfId="0" applyFont="1" applyFill="1" applyBorder="1" applyAlignment="1" applyProtection="1">
      <alignment horizontal="left" vertical="center" shrinkToFit="1"/>
      <protection hidden="1"/>
    </xf>
    <xf numFmtId="0" fontId="3" fillId="2" borderId="25" xfId="0" applyNumberFormat="1" applyFont="1" applyFill="1" applyBorder="1" applyAlignment="1" applyProtection="1">
      <alignment horizontal="left" vertical="top" shrinkToFit="1"/>
      <protection hidden="1"/>
    </xf>
    <xf numFmtId="0" fontId="3" fillId="2" borderId="49" xfId="0" applyNumberFormat="1" applyFont="1" applyFill="1" applyBorder="1" applyAlignment="1" applyProtection="1">
      <alignment horizontal="left" vertical="top" shrinkToFit="1"/>
      <protection hidden="1"/>
    </xf>
    <xf numFmtId="0" fontId="3" fillId="2" borderId="0" xfId="0" applyNumberFormat="1" applyFont="1" applyFill="1" applyBorder="1" applyAlignment="1" applyProtection="1">
      <alignment horizontal="left" vertical="top" shrinkToFit="1"/>
      <protection hidden="1"/>
    </xf>
    <xf numFmtId="0" fontId="3" fillId="2" borderId="35" xfId="0" applyNumberFormat="1" applyFont="1" applyFill="1" applyBorder="1" applyAlignment="1" applyProtection="1">
      <alignment horizontal="left" vertical="top" shrinkToFit="1"/>
      <protection hidden="1"/>
    </xf>
    <xf numFmtId="0" fontId="3" fillId="2" borderId="18" xfId="0" applyNumberFormat="1" applyFont="1" applyFill="1" applyBorder="1" applyAlignment="1" applyProtection="1">
      <alignment horizontal="left" vertical="top" shrinkToFit="1"/>
      <protection hidden="1"/>
    </xf>
    <xf numFmtId="0" fontId="3" fillId="2" borderId="52" xfId="0" applyNumberFormat="1" applyFont="1" applyFill="1" applyBorder="1" applyAlignment="1" applyProtection="1">
      <alignment horizontal="left" vertical="top" shrinkToFit="1"/>
      <protection hidden="1"/>
    </xf>
    <xf numFmtId="0" fontId="7" fillId="2" borderId="50" xfId="0" applyFont="1" applyFill="1" applyBorder="1" applyAlignment="1" applyProtection="1">
      <alignment horizontal="left" vertical="center" shrinkToFit="1"/>
      <protection hidden="1"/>
    </xf>
    <xf numFmtId="0" fontId="7" fillId="2" borderId="25" xfId="0" applyFont="1" applyFill="1" applyBorder="1" applyAlignment="1" applyProtection="1">
      <alignment horizontal="left" vertical="center" shrinkToFit="1"/>
      <protection hidden="1"/>
    </xf>
    <xf numFmtId="0" fontId="3" fillId="2" borderId="49" xfId="0" applyFont="1" applyFill="1" applyBorder="1" applyAlignment="1" applyProtection="1">
      <alignment horizontal="center" vertical="center" shrinkToFit="1"/>
      <protection hidden="1"/>
    </xf>
    <xf numFmtId="0" fontId="3" fillId="2" borderId="0" xfId="0" applyNumberFormat="1" applyFont="1" applyFill="1" applyBorder="1" applyAlignment="1" applyProtection="1">
      <alignment horizontal="left" vertical="center" shrinkToFit="1"/>
      <protection hidden="1"/>
    </xf>
    <xf numFmtId="0" fontId="1" fillId="2" borderId="40" xfId="0" applyFont="1" applyFill="1" applyBorder="1" applyAlignment="1" applyProtection="1">
      <alignment horizontal="center" vertical="center"/>
      <protection hidden="1"/>
    </xf>
    <xf numFmtId="0" fontId="1" fillId="2" borderId="20"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vertical="center" shrinkToFit="1"/>
      <protection hidden="1"/>
    </xf>
    <xf numFmtId="0" fontId="1" fillId="2" borderId="20" xfId="0" quotePrefix="1" applyFont="1" applyFill="1" applyBorder="1" applyAlignment="1" applyProtection="1">
      <alignment horizontal="center" vertical="center" shrinkToFit="1"/>
      <protection hidden="1"/>
    </xf>
    <xf numFmtId="0" fontId="1" fillId="2" borderId="20" xfId="0" applyFont="1" applyFill="1" applyBorder="1" applyAlignment="1" applyProtection="1">
      <alignment horizontal="center" vertical="center" shrinkToFit="1"/>
      <protection hidden="1"/>
    </xf>
    <xf numFmtId="0" fontId="1" fillId="2" borderId="49" xfId="0" applyFont="1" applyFill="1" applyBorder="1" applyAlignment="1" applyProtection="1">
      <alignment horizontal="left" vertical="center" shrinkToFit="1"/>
      <protection hidden="1"/>
    </xf>
    <xf numFmtId="0" fontId="3" fillId="2" borderId="91" xfId="0" applyFont="1" applyFill="1" applyBorder="1" applyAlignment="1" applyProtection="1">
      <alignment horizontal="center" vertical="center"/>
      <protection hidden="1"/>
    </xf>
    <xf numFmtId="0" fontId="3" fillId="2" borderId="75" xfId="0" applyFont="1" applyFill="1" applyBorder="1" applyAlignment="1" applyProtection="1">
      <alignment horizontal="center" vertical="center"/>
      <protection hidden="1"/>
    </xf>
    <xf numFmtId="0" fontId="3" fillId="2" borderId="75" xfId="0" applyFont="1" applyFill="1" applyBorder="1" applyAlignment="1" applyProtection="1">
      <alignment horizontal="left" vertical="center"/>
      <protection locked="0" hidden="1"/>
    </xf>
    <xf numFmtId="0" fontId="3" fillId="2" borderId="92" xfId="0" applyFont="1" applyFill="1" applyBorder="1" applyAlignment="1" applyProtection="1">
      <alignment horizontal="left" vertical="center"/>
      <protection locked="0" hidden="1"/>
    </xf>
    <xf numFmtId="0" fontId="43" fillId="2" borderId="36" xfId="0" applyFont="1" applyFill="1" applyBorder="1" applyAlignment="1" applyProtection="1">
      <alignment horizontal="center" vertical="center"/>
      <protection hidden="1"/>
    </xf>
    <xf numFmtId="0" fontId="43" fillId="2" borderId="42"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31" fillId="2" borderId="87"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89"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2" xfId="0" applyFont="1" applyFill="1" applyBorder="1" applyAlignment="1" applyProtection="1">
      <alignment horizontal="left" vertical="center"/>
      <protection locked="0" hidden="1"/>
    </xf>
    <xf numFmtId="0" fontId="3" fillId="2" borderId="90" xfId="0" applyFont="1" applyFill="1" applyBorder="1" applyAlignment="1" applyProtection="1">
      <alignment horizontal="left" vertical="center"/>
      <protection locked="0" hidden="1"/>
    </xf>
    <xf numFmtId="0" fontId="30" fillId="2" borderId="0" xfId="0" applyFont="1" applyFill="1" applyAlignment="1" applyProtection="1">
      <alignment horizontal="left" vertical="center"/>
      <protection hidden="1"/>
    </xf>
    <xf numFmtId="0" fontId="3" fillId="2" borderId="85" xfId="0" applyFont="1" applyFill="1" applyBorder="1" applyAlignment="1" applyProtection="1">
      <alignment horizontal="center" vertical="center"/>
      <protection hidden="1"/>
    </xf>
    <xf numFmtId="0" fontId="3" fillId="2" borderId="88" xfId="0" applyFont="1" applyFill="1" applyBorder="1" applyAlignment="1" applyProtection="1">
      <alignment horizontal="center" vertical="center"/>
      <protection hidden="1"/>
    </xf>
    <xf numFmtId="0" fontId="3" fillId="2" borderId="88" xfId="0" applyFont="1" applyFill="1" applyBorder="1" applyAlignment="1" applyProtection="1">
      <alignment horizontal="left" vertical="center"/>
      <protection locked="0" hidden="1"/>
    </xf>
    <xf numFmtId="0" fontId="34" fillId="2" borderId="81" xfId="0" quotePrefix="1" applyFont="1" applyFill="1" applyBorder="1" applyAlignment="1" applyProtection="1">
      <alignment horizontal="center" vertical="center"/>
      <protection hidden="1"/>
    </xf>
    <xf numFmtId="0" fontId="34" fillId="2" borderId="62" xfId="0" quotePrefix="1" applyFont="1" applyFill="1" applyBorder="1" applyAlignment="1" applyProtection="1">
      <alignment horizontal="center" vertical="center"/>
      <protection hidden="1"/>
    </xf>
    <xf numFmtId="0" fontId="34" fillId="2" borderId="82" xfId="0" quotePrefix="1" applyFont="1" applyFill="1" applyBorder="1" applyAlignment="1" applyProtection="1">
      <alignment horizontal="center" vertical="center"/>
      <protection hidden="1"/>
    </xf>
    <xf numFmtId="0" fontId="4" fillId="2" borderId="81" xfId="0" applyFont="1" applyFill="1" applyBorder="1" applyAlignment="1" applyProtection="1">
      <alignment horizontal="center" vertical="center"/>
      <protection hidden="1"/>
    </xf>
    <xf numFmtId="0" fontId="4" fillId="2" borderId="62" xfId="0" applyFont="1" applyFill="1" applyBorder="1" applyAlignment="1" applyProtection="1">
      <alignment horizontal="center" vertical="center"/>
      <protection hidden="1"/>
    </xf>
    <xf numFmtId="0" fontId="4" fillId="2" borderId="82" xfId="0" applyFont="1" applyFill="1" applyBorder="1" applyAlignment="1" applyProtection="1">
      <alignment horizontal="center" vertical="center"/>
      <protection hidden="1"/>
    </xf>
    <xf numFmtId="0" fontId="7" fillId="0" borderId="85" xfId="0" applyFont="1" applyFill="1" applyBorder="1" applyAlignment="1" applyProtection="1">
      <alignment horizontal="center" vertical="center"/>
      <protection hidden="1"/>
    </xf>
    <xf numFmtId="0" fontId="7" fillId="0" borderId="88" xfId="0" applyFont="1" applyFill="1" applyBorder="1" applyAlignment="1" applyProtection="1">
      <alignment horizontal="center" vertical="center"/>
      <protection hidden="1"/>
    </xf>
    <xf numFmtId="0" fontId="7" fillId="6" borderId="91" xfId="0" applyFont="1" applyFill="1" applyBorder="1" applyAlignment="1" applyProtection="1">
      <alignment horizontal="center" vertical="center"/>
      <protection locked="0" hidden="1"/>
    </xf>
    <xf numFmtId="0" fontId="7" fillId="6" borderId="75" xfId="0" applyFont="1" applyFill="1" applyBorder="1" applyAlignment="1" applyProtection="1">
      <alignment horizontal="center" vertical="center"/>
      <protection locked="0" hidden="1"/>
    </xf>
    <xf numFmtId="0" fontId="7" fillId="2" borderId="11"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34" fillId="2" borderId="4" xfId="0" quotePrefix="1" applyFont="1" applyFill="1" applyBorder="1" applyAlignment="1" applyProtection="1">
      <alignment horizontal="center" vertical="center"/>
      <protection hidden="1"/>
    </xf>
    <xf numFmtId="0" fontId="34" fillId="2" borderId="5" xfId="0" quotePrefix="1" applyFont="1" applyFill="1" applyBorder="1" applyAlignment="1" applyProtection="1">
      <alignment horizontal="center" vertical="center"/>
      <protection hidden="1"/>
    </xf>
    <xf numFmtId="0" fontId="34" fillId="2" borderId="6" xfId="0" quotePrefix="1"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99"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locked="0" hidden="1"/>
    </xf>
    <xf numFmtId="0" fontId="7" fillId="6" borderId="21" xfId="0" applyFont="1" applyFill="1" applyBorder="1" applyAlignment="1" applyProtection="1">
      <alignment horizontal="center" vertical="center"/>
      <protection locked="0" hidden="1"/>
    </xf>
    <xf numFmtId="0" fontId="7" fillId="6" borderId="80" xfId="0" applyFont="1" applyFill="1" applyBorder="1" applyAlignment="1" applyProtection="1">
      <alignment horizontal="center" vertical="center"/>
      <protection locked="0" hidden="1"/>
    </xf>
    <xf numFmtId="0" fontId="7" fillId="2" borderId="40" xfId="0" applyFont="1" applyFill="1" applyBorder="1" applyAlignment="1" applyProtection="1">
      <alignment horizontal="left" vertical="center" wrapText="1"/>
      <protection hidden="1"/>
    </xf>
    <xf numFmtId="0" fontId="7" fillId="2" borderId="20" xfId="0" applyFont="1" applyFill="1" applyBorder="1" applyAlignment="1" applyProtection="1">
      <alignment horizontal="left" vertical="center" wrapText="1"/>
      <protection hidden="1"/>
    </xf>
    <xf numFmtId="0" fontId="7" fillId="2" borderId="41" xfId="0" applyFont="1" applyFill="1" applyBorder="1" applyAlignment="1" applyProtection="1">
      <alignment horizontal="left" vertical="center" wrapText="1"/>
      <protection hidden="1"/>
    </xf>
    <xf numFmtId="0" fontId="7" fillId="2" borderId="40" xfId="0" quotePrefix="1" applyFont="1" applyFill="1" applyBorder="1" applyAlignment="1" applyProtection="1">
      <alignment horizontal="left" vertical="center" wrapText="1"/>
      <protection hidden="1"/>
    </xf>
    <xf numFmtId="0" fontId="7" fillId="2" borderId="40" xfId="0" quotePrefix="1" applyFont="1" applyFill="1" applyBorder="1" applyAlignment="1" applyProtection="1">
      <alignment horizontal="left" vertical="center"/>
      <protection hidden="1"/>
    </xf>
    <xf numFmtId="0" fontId="7" fillId="2" borderId="41" xfId="0" quotePrefix="1" applyFont="1" applyFill="1" applyBorder="1" applyAlignment="1" applyProtection="1">
      <alignment horizontal="left" vertical="center"/>
      <protection hidden="1"/>
    </xf>
    <xf numFmtId="0" fontId="55" fillId="2" borderId="68" xfId="0" applyFont="1" applyFill="1" applyBorder="1" applyAlignment="1" applyProtection="1">
      <alignment horizontal="center" vertical="center"/>
      <protection hidden="1"/>
    </xf>
    <xf numFmtId="0" fontId="55" fillId="2" borderId="69" xfId="0" applyFont="1" applyFill="1" applyBorder="1" applyAlignment="1" applyProtection="1">
      <alignment horizontal="center" vertical="center"/>
      <protection hidden="1"/>
    </xf>
    <xf numFmtId="0" fontId="55" fillId="2" borderId="87" xfId="0" applyFont="1" applyFill="1" applyBorder="1" applyAlignment="1" applyProtection="1">
      <alignment horizontal="center" vertical="center"/>
      <protection hidden="1"/>
    </xf>
    <xf numFmtId="0" fontId="55" fillId="2" borderId="11" xfId="0" applyFont="1" applyFill="1" applyBorder="1" applyAlignment="1" applyProtection="1">
      <alignment horizontal="center" vertical="center"/>
      <protection hidden="1"/>
    </xf>
    <xf numFmtId="0" fontId="55" fillId="2" borderId="0" xfId="0" applyFont="1" applyFill="1" applyBorder="1" applyAlignment="1" applyProtection="1">
      <alignment horizontal="center" vertical="center"/>
      <protection hidden="1"/>
    </xf>
    <xf numFmtId="0" fontId="55" fillId="2" borderId="96" xfId="0" applyFont="1" applyFill="1" applyBorder="1" applyAlignment="1" applyProtection="1">
      <alignment horizontal="center" vertical="center"/>
      <protection hidden="1"/>
    </xf>
    <xf numFmtId="0" fontId="7" fillId="2" borderId="40" xfId="0" applyFont="1" applyFill="1" applyBorder="1" applyAlignment="1" applyProtection="1">
      <alignment horizontal="left" vertical="center"/>
      <protection hidden="1"/>
    </xf>
    <xf numFmtId="0" fontId="7" fillId="2" borderId="42" xfId="0" quotePrefix="1" applyFont="1" applyFill="1" applyBorder="1" applyAlignment="1" applyProtection="1">
      <alignment horizontal="left" vertical="center"/>
      <protection hidden="1"/>
    </xf>
    <xf numFmtId="0" fontId="7" fillId="2" borderId="11"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96" xfId="0" applyFont="1" applyFill="1" applyBorder="1" applyAlignment="1" applyProtection="1">
      <alignment horizontal="center" vertical="center" wrapText="1"/>
      <protection hidden="1"/>
    </xf>
    <xf numFmtId="0" fontId="7" fillId="2" borderId="71" xfId="0" applyFont="1" applyFill="1" applyBorder="1" applyAlignment="1" applyProtection="1">
      <alignment horizontal="center" vertical="center" wrapText="1"/>
      <protection hidden="1"/>
    </xf>
    <xf numFmtId="0" fontId="7" fillId="2" borderId="73" xfId="0" applyFont="1" applyFill="1" applyBorder="1" applyAlignment="1" applyProtection="1">
      <alignment horizontal="center" vertical="center" wrapText="1"/>
      <protection hidden="1"/>
    </xf>
    <xf numFmtId="0" fontId="7" fillId="2" borderId="84" xfId="0" applyFont="1" applyFill="1" applyBorder="1" applyAlignment="1" applyProtection="1">
      <alignment horizontal="center" vertical="center" wrapText="1"/>
      <protection hidden="1"/>
    </xf>
    <xf numFmtId="0" fontId="34" fillId="2" borderId="68" xfId="0" quotePrefix="1" applyFont="1" applyFill="1" applyBorder="1" applyAlignment="1" applyProtection="1">
      <alignment horizontal="center" vertical="center"/>
      <protection hidden="1"/>
    </xf>
    <xf numFmtId="0" fontId="34" fillId="2" borderId="69" xfId="0" quotePrefix="1" applyFont="1" applyFill="1" applyBorder="1" applyAlignment="1" applyProtection="1">
      <alignment horizontal="center" vertical="center"/>
      <protection hidden="1"/>
    </xf>
    <xf numFmtId="0" fontId="34" fillId="2" borderId="87" xfId="0" quotePrefix="1" applyFont="1" applyFill="1" applyBorder="1" applyAlignment="1" applyProtection="1">
      <alignment horizontal="center" vertical="center"/>
      <protection hidden="1"/>
    </xf>
    <xf numFmtId="0" fontId="7" fillId="2" borderId="26" xfId="0" applyFont="1" applyFill="1" applyBorder="1" applyAlignment="1" applyProtection="1">
      <alignment horizontal="left" vertical="center"/>
      <protection hidden="1"/>
    </xf>
    <xf numFmtId="0" fontId="7" fillId="2" borderId="96" xfId="0" applyFont="1" applyFill="1" applyBorder="1" applyAlignment="1" applyProtection="1">
      <alignment horizontal="left" vertical="center"/>
      <protection hidden="1"/>
    </xf>
    <xf numFmtId="0" fontId="7" fillId="2" borderId="0" xfId="0" quotePrefix="1" applyFont="1" applyFill="1" applyBorder="1" applyAlignment="1" applyProtection="1">
      <alignment horizontal="left" vertical="center"/>
      <protection hidden="1"/>
    </xf>
    <xf numFmtId="0" fontId="7" fillId="2" borderId="73" xfId="0" quotePrefix="1" applyFont="1" applyFill="1" applyBorder="1" applyAlignment="1" applyProtection="1">
      <alignment horizontal="left" vertical="center"/>
      <protection hidden="1"/>
    </xf>
    <xf numFmtId="0" fontId="7" fillId="2" borderId="69" xfId="0" applyFont="1" applyFill="1" applyBorder="1" applyAlignment="1" applyProtection="1">
      <alignment horizontal="left" vertical="center" wrapText="1"/>
      <protection hidden="1"/>
    </xf>
    <xf numFmtId="0" fontId="7" fillId="2" borderId="87"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7" fillId="2" borderId="96" xfId="0" applyFont="1" applyFill="1" applyBorder="1" applyAlignment="1" applyProtection="1">
      <alignment horizontal="left" vertical="center" wrapText="1"/>
      <protection hidden="1"/>
    </xf>
    <xf numFmtId="0" fontId="7" fillId="2" borderId="11" xfId="0" applyFont="1" applyFill="1" applyBorder="1" applyAlignment="1" applyProtection="1">
      <alignment horizontal="left" vertical="center" wrapText="1"/>
      <protection hidden="1"/>
    </xf>
    <xf numFmtId="0" fontId="7" fillId="2" borderId="71" xfId="0" applyFont="1" applyFill="1" applyBorder="1" applyAlignment="1" applyProtection="1">
      <alignment horizontal="left" vertical="center" wrapText="1"/>
      <protection hidden="1"/>
    </xf>
    <xf numFmtId="0" fontId="7" fillId="2" borderId="73" xfId="0" applyFont="1" applyFill="1" applyBorder="1" applyAlignment="1" applyProtection="1">
      <alignment horizontal="left" vertical="center" wrapText="1"/>
      <protection hidden="1"/>
    </xf>
    <xf numFmtId="0" fontId="7" fillId="2" borderId="84" xfId="0" applyFont="1" applyFill="1" applyBorder="1" applyAlignment="1" applyProtection="1">
      <alignment horizontal="left" vertical="center" wrapText="1"/>
      <protection hidden="1"/>
    </xf>
    <xf numFmtId="0" fontId="7" fillId="2" borderId="26"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7" fillId="6" borderId="89" xfId="0" applyFont="1" applyFill="1" applyBorder="1" applyAlignment="1" applyProtection="1">
      <alignment horizontal="center" vertical="center"/>
      <protection locked="0" hidden="1"/>
    </xf>
    <xf numFmtId="0" fontId="7" fillId="6" borderId="42" xfId="0" applyFont="1" applyFill="1" applyBorder="1" applyAlignment="1" applyProtection="1">
      <alignment horizontal="center" vertical="center"/>
      <protection locked="0" hidden="1"/>
    </xf>
    <xf numFmtId="0" fontId="7" fillId="2" borderId="71" xfId="0" applyFont="1" applyFill="1" applyBorder="1" applyAlignment="1" applyProtection="1">
      <alignment horizontal="left" vertical="center"/>
      <protection hidden="1"/>
    </xf>
    <xf numFmtId="0" fontId="7" fillId="2" borderId="73" xfId="0" applyFont="1" applyFill="1" applyBorder="1" applyAlignment="1" applyProtection="1">
      <alignment horizontal="left" vertical="center"/>
      <protection hidden="1"/>
    </xf>
    <xf numFmtId="0" fontId="7" fillId="2" borderId="84" xfId="0" applyFont="1" applyFill="1" applyBorder="1" applyAlignment="1" applyProtection="1">
      <alignment horizontal="left" vertical="center"/>
      <protection hidden="1"/>
    </xf>
    <xf numFmtId="0" fontId="7" fillId="2" borderId="96" xfId="0" quotePrefix="1" applyFont="1" applyFill="1" applyBorder="1" applyAlignment="1" applyProtection="1">
      <alignment horizontal="left" vertical="center"/>
      <protection hidden="1"/>
    </xf>
    <xf numFmtId="0" fontId="35" fillId="2" borderId="0" xfId="0" applyFont="1" applyFill="1" applyBorder="1" applyAlignment="1" applyProtection="1">
      <alignment horizontal="left" vertical="center" wrapText="1"/>
      <protection hidden="1"/>
    </xf>
    <xf numFmtId="0" fontId="35" fillId="2" borderId="96" xfId="0" applyFont="1" applyFill="1" applyBorder="1" applyAlignment="1" applyProtection="1">
      <alignment horizontal="left" vertical="center" wrapText="1"/>
      <protection hidden="1"/>
    </xf>
    <xf numFmtId="0" fontId="35" fillId="2" borderId="26" xfId="0" applyFont="1" applyFill="1" applyBorder="1" applyAlignment="1" applyProtection="1">
      <alignment horizontal="left" vertical="center" wrapText="1"/>
      <protection hidden="1"/>
    </xf>
    <xf numFmtId="0" fontId="36" fillId="2" borderId="26" xfId="0" quotePrefix="1" applyFont="1" applyFill="1" applyBorder="1" applyAlignment="1" applyProtection="1">
      <alignment horizontal="left" vertical="center"/>
      <protection hidden="1"/>
    </xf>
    <xf numFmtId="0" fontId="36" fillId="2" borderId="0" xfId="0" applyFont="1" applyFill="1" applyBorder="1" applyAlignment="1" applyProtection="1">
      <alignment horizontal="left" vertical="center"/>
      <protection hidden="1"/>
    </xf>
    <xf numFmtId="0" fontId="35" fillId="2" borderId="26" xfId="0" quotePrefix="1" applyFont="1" applyFill="1" applyBorder="1" applyAlignment="1" applyProtection="1">
      <alignment horizontal="left" vertical="center"/>
      <protection hidden="1"/>
    </xf>
    <xf numFmtId="0" fontId="35" fillId="2" borderId="0" xfId="0" applyFont="1" applyFill="1" applyBorder="1" applyAlignment="1" applyProtection="1">
      <alignment horizontal="left" vertical="center"/>
      <protection hidden="1"/>
    </xf>
    <xf numFmtId="0" fontId="35" fillId="2" borderId="96" xfId="0" applyFont="1" applyFill="1" applyBorder="1" applyAlignment="1" applyProtection="1">
      <alignment horizontal="left" vertical="center"/>
      <protection hidden="1"/>
    </xf>
    <xf numFmtId="0" fontId="7" fillId="2" borderId="42" xfId="0" applyFont="1" applyFill="1" applyBorder="1" applyAlignment="1" applyProtection="1">
      <alignment horizontal="left" vertical="center" wrapText="1"/>
      <protection hidden="1"/>
    </xf>
    <xf numFmtId="0" fontId="35" fillId="2" borderId="97" xfId="0" quotePrefix="1" applyFont="1" applyFill="1" applyBorder="1" applyAlignment="1" applyProtection="1">
      <alignment horizontal="left" vertical="center"/>
      <protection hidden="1"/>
    </xf>
    <xf numFmtId="0" fontId="35" fillId="2" borderId="73" xfId="0" applyFont="1" applyFill="1" applyBorder="1" applyAlignment="1" applyProtection="1">
      <alignment horizontal="left" vertical="center"/>
      <protection hidden="1"/>
    </xf>
    <xf numFmtId="0" fontId="35" fillId="2" borderId="84" xfId="0" applyFont="1" applyFill="1" applyBorder="1" applyAlignment="1" applyProtection="1">
      <alignment horizontal="left" vertical="center"/>
      <protection hidden="1"/>
    </xf>
    <xf numFmtId="0" fontId="54" fillId="6" borderId="11" xfId="0" applyFont="1" applyFill="1" applyBorder="1" applyAlignment="1" applyProtection="1">
      <alignment horizontal="center" vertical="center"/>
      <protection locked="0" hidden="1"/>
    </xf>
    <xf numFmtId="0" fontId="54" fillId="6" borderId="0" xfId="0" applyFont="1" applyFill="1" applyBorder="1" applyAlignment="1" applyProtection="1">
      <alignment horizontal="center" vertical="center"/>
      <protection locked="0" hidden="1"/>
    </xf>
    <xf numFmtId="0" fontId="54" fillId="6" borderId="35" xfId="0" applyFont="1" applyFill="1" applyBorder="1" applyAlignment="1" applyProtection="1">
      <alignment horizontal="center" vertical="center"/>
      <protection locked="0" hidden="1"/>
    </xf>
    <xf numFmtId="0" fontId="54" fillId="6" borderId="71" xfId="0" applyFont="1" applyFill="1" applyBorder="1" applyAlignment="1" applyProtection="1">
      <alignment horizontal="center" vertical="center"/>
      <protection locked="0" hidden="1"/>
    </xf>
    <xf numFmtId="0" fontId="54" fillId="6" borderId="73" xfId="0" applyFont="1" applyFill="1" applyBorder="1" applyAlignment="1" applyProtection="1">
      <alignment horizontal="center" vertical="center"/>
      <protection locked="0" hidden="1"/>
    </xf>
    <xf numFmtId="0" fontId="54" fillId="6" borderId="98" xfId="0" applyFont="1" applyFill="1" applyBorder="1" applyAlignment="1" applyProtection="1">
      <alignment horizontal="center" vertical="center"/>
      <protection locked="0" hidden="1"/>
    </xf>
    <xf numFmtId="0" fontId="7" fillId="0" borderId="89" xfId="0" applyFont="1" applyFill="1" applyBorder="1" applyAlignment="1" applyProtection="1">
      <alignment horizontal="center" vertical="center"/>
      <protection hidden="1"/>
    </xf>
    <xf numFmtId="0" fontId="7" fillId="0" borderId="42" xfId="0" applyFont="1" applyFill="1" applyBorder="1" applyAlignment="1" applyProtection="1">
      <alignment horizontal="center" vertical="center"/>
      <protection hidden="1"/>
    </xf>
    <xf numFmtId="0" fontId="7" fillId="5" borderId="91" xfId="0" applyFont="1" applyFill="1" applyBorder="1" applyAlignment="1" applyProtection="1">
      <alignment horizontal="center" vertical="center"/>
      <protection hidden="1"/>
    </xf>
    <xf numFmtId="0" fontId="7" fillId="5" borderId="75" xfId="0" applyFont="1" applyFill="1" applyBorder="1" applyAlignment="1" applyProtection="1">
      <alignment horizontal="center" vertical="center"/>
      <protection hidden="1"/>
    </xf>
    <xf numFmtId="0" fontId="7" fillId="6" borderId="12" xfId="0" applyFont="1" applyFill="1" applyBorder="1" applyAlignment="1" applyProtection="1">
      <alignment horizontal="center" vertical="center"/>
      <protection locked="0" hidden="1"/>
    </xf>
    <xf numFmtId="0" fontId="7" fillId="6" borderId="20" xfId="0" applyFont="1" applyFill="1" applyBorder="1" applyAlignment="1" applyProtection="1">
      <alignment horizontal="center" vertical="center"/>
      <protection locked="0" hidden="1"/>
    </xf>
    <xf numFmtId="0" fontId="7" fillId="6" borderId="41" xfId="0" applyFont="1" applyFill="1" applyBorder="1" applyAlignment="1" applyProtection="1">
      <alignment horizontal="center" vertical="center"/>
      <protection locked="0" hidden="1"/>
    </xf>
    <xf numFmtId="0" fontId="4" fillId="2" borderId="100" xfId="0" applyFont="1" applyFill="1" applyBorder="1" applyAlignment="1" applyProtection="1">
      <alignment horizontal="center" vertical="center"/>
      <protection hidden="1"/>
    </xf>
    <xf numFmtId="0" fontId="4" fillId="2" borderId="101" xfId="0" applyFont="1" applyFill="1" applyBorder="1" applyAlignment="1" applyProtection="1">
      <alignment horizontal="center" vertical="center"/>
      <protection hidden="1"/>
    </xf>
    <xf numFmtId="0" fontId="4" fillId="2" borderId="102" xfId="0" applyFont="1" applyFill="1" applyBorder="1" applyAlignment="1" applyProtection="1">
      <alignment horizontal="center" vertical="center"/>
      <protection hidden="1"/>
    </xf>
    <xf numFmtId="0" fontId="36" fillId="2" borderId="11" xfId="0" applyFont="1" applyFill="1" applyBorder="1" applyAlignment="1" applyProtection="1">
      <alignment horizontal="left" vertical="center" wrapText="1"/>
      <protection hidden="1"/>
    </xf>
    <xf numFmtId="0" fontId="36" fillId="2" borderId="0" xfId="0" applyFont="1" applyFill="1" applyBorder="1" applyAlignment="1" applyProtection="1">
      <alignment horizontal="left" vertical="center" wrapText="1"/>
      <protection hidden="1"/>
    </xf>
    <xf numFmtId="0" fontId="36" fillId="2" borderId="96" xfId="0" applyFont="1" applyFill="1" applyBorder="1" applyAlignment="1" applyProtection="1">
      <alignment horizontal="left" vertical="center" wrapText="1"/>
      <protection hidden="1"/>
    </xf>
    <xf numFmtId="0" fontId="55" fillId="2" borderId="4" xfId="0" applyFont="1" applyFill="1" applyBorder="1" applyAlignment="1" applyProtection="1">
      <alignment horizontal="center" vertical="center"/>
      <protection hidden="1"/>
    </xf>
    <xf numFmtId="0" fontId="55" fillId="2" borderId="5" xfId="0" applyFont="1" applyFill="1" applyBorder="1" applyAlignment="1" applyProtection="1">
      <alignment horizontal="center" vertical="center"/>
      <protection hidden="1"/>
    </xf>
    <xf numFmtId="0" fontId="55" fillId="2" borderId="6" xfId="0" applyFont="1" applyFill="1" applyBorder="1" applyAlignment="1" applyProtection="1">
      <alignment horizontal="center" vertical="center"/>
      <protection hidden="1"/>
    </xf>
    <xf numFmtId="0" fontId="55" fillId="2" borderId="40" xfId="0" applyFont="1" applyFill="1" applyBorder="1" applyAlignment="1" applyProtection="1">
      <alignment horizontal="center" vertical="center"/>
      <protection hidden="1"/>
    </xf>
    <xf numFmtId="0" fontId="55" fillId="2" borderId="20" xfId="0" applyFont="1" applyFill="1" applyBorder="1" applyAlignment="1" applyProtection="1">
      <alignment horizontal="center" vertical="center"/>
      <protection hidden="1"/>
    </xf>
    <xf numFmtId="0" fontId="55" fillId="2" borderId="41" xfId="0" applyFont="1" applyFill="1" applyBorder="1" applyAlignment="1" applyProtection="1">
      <alignment horizontal="center" vertical="center"/>
      <protection hidden="1"/>
    </xf>
    <xf numFmtId="0" fontId="55" fillId="2" borderId="68" xfId="0" applyFont="1" applyFill="1" applyBorder="1" applyAlignment="1" applyProtection="1">
      <alignment horizontal="center" vertical="center" wrapText="1"/>
      <protection hidden="1"/>
    </xf>
    <xf numFmtId="0" fontId="55" fillId="2" borderId="69" xfId="0" applyFont="1" applyFill="1" applyBorder="1" applyAlignment="1" applyProtection="1">
      <alignment horizontal="center" vertical="center" wrapText="1"/>
      <protection hidden="1"/>
    </xf>
    <xf numFmtId="0" fontId="38" fillId="2" borderId="87" xfId="0" applyFont="1" applyFill="1" applyBorder="1" applyAlignment="1" applyProtection="1">
      <alignment horizontal="center" vertical="center" wrapText="1"/>
      <protection hidden="1"/>
    </xf>
    <xf numFmtId="0" fontId="55" fillId="2" borderId="73"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shrinkToFit="1"/>
      <protection hidden="1"/>
    </xf>
    <xf numFmtId="0" fontId="3" fillId="2" borderId="104"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105"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106" xfId="0"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0" fontId="14" fillId="25" borderId="26" xfId="0" applyFont="1" applyFill="1" applyBorder="1" applyProtection="1">
      <protection hidden="1"/>
    </xf>
    <xf numFmtId="0" fontId="3" fillId="25" borderId="26" xfId="0" applyFont="1" applyFill="1" applyBorder="1" applyProtection="1">
      <protection hidden="1"/>
    </xf>
    <xf numFmtId="0" fontId="9" fillId="2" borderId="9" xfId="0" applyFont="1" applyFill="1" applyBorder="1" applyAlignment="1" applyProtection="1">
      <alignment horizontal="center" vertical="center"/>
      <protection hidden="1"/>
    </xf>
    <xf numFmtId="0" fontId="4" fillId="2" borderId="73" xfId="0" applyFont="1" applyFill="1" applyBorder="1" applyAlignment="1" applyProtection="1">
      <alignment horizontal="center" vertical="center" wrapText="1"/>
      <protection hidden="1"/>
    </xf>
    <xf numFmtId="0" fontId="3" fillId="2" borderId="42" xfId="0" applyFont="1" applyFill="1" applyBorder="1" applyAlignment="1" applyProtection="1">
      <alignment horizontal="center" vertical="center" wrapText="1"/>
      <protection hidden="1"/>
    </xf>
    <xf numFmtId="0" fontId="3" fillId="2" borderId="42" xfId="0" quotePrefix="1" applyFont="1" applyFill="1" applyBorder="1" applyAlignment="1" applyProtection="1">
      <alignment horizontal="center" vertical="center" wrapText="1"/>
      <protection hidden="1"/>
    </xf>
    <xf numFmtId="0" fontId="3" fillId="2" borderId="37" xfId="0" applyFont="1" applyFill="1" applyBorder="1" applyAlignment="1" applyProtection="1">
      <alignment vertical="center" shrinkToFit="1"/>
      <protection hidden="1"/>
    </xf>
    <xf numFmtId="0" fontId="3" fillId="2" borderId="18" xfId="0" applyFont="1" applyFill="1" applyBorder="1" applyAlignment="1" applyProtection="1">
      <alignment vertical="center" shrinkToFit="1"/>
      <protection hidden="1"/>
    </xf>
    <xf numFmtId="0" fontId="3" fillId="2" borderId="0" xfId="0" applyFont="1" applyFill="1" applyBorder="1" applyAlignment="1" applyProtection="1">
      <alignment vertical="center" wrapText="1" shrinkToFit="1"/>
      <protection hidden="1"/>
    </xf>
    <xf numFmtId="0" fontId="3" fillId="2" borderId="18" xfId="0" applyFont="1" applyFill="1" applyBorder="1" applyAlignment="1" applyProtection="1">
      <alignment vertical="center" wrapText="1" shrinkToFit="1"/>
      <protection hidden="1"/>
    </xf>
    <xf numFmtId="0" fontId="3" fillId="2" borderId="26" xfId="0" applyFont="1" applyFill="1" applyBorder="1" applyAlignment="1" applyProtection="1">
      <alignment horizontal="left" vertical="center" wrapText="1" shrinkToFit="1"/>
      <protection hidden="1"/>
    </xf>
    <xf numFmtId="0" fontId="3" fillId="2" borderId="35" xfId="0" applyFont="1" applyFill="1" applyBorder="1" applyAlignment="1" applyProtection="1">
      <alignment horizontal="left" vertical="center" wrapText="1" shrinkToFit="1"/>
      <protection hidden="1"/>
    </xf>
    <xf numFmtId="0" fontId="60" fillId="2" borderId="0" xfId="0" applyFont="1" applyFill="1" applyBorder="1" applyAlignment="1" applyProtection="1">
      <alignment horizontal="left" vertical="center"/>
      <protection hidden="1"/>
    </xf>
  </cellXfs>
  <cellStyles count="38">
    <cellStyle name="Good" xfId="1" builtinId="26"/>
    <cellStyle name="Neutral" xfId="2" builtinId="28"/>
    <cellStyle name="Normal" xfId="0" builtinId="0"/>
    <cellStyle name="Note" xfId="3" builtinId="10"/>
    <cellStyle name="SAPBorder" xfId="22"/>
    <cellStyle name="SAPDataCell" xfId="5"/>
    <cellStyle name="SAPDataTotalCell" xfId="6"/>
    <cellStyle name="SAPDimensionCell" xfId="4"/>
    <cellStyle name="SAPEditableDataCell" xfId="7"/>
    <cellStyle name="SAPEditableDataTotalCell" xfId="10"/>
    <cellStyle name="SAPEmphasized" xfId="30"/>
    <cellStyle name="SAPEmphasizedEditableDataCell" xfId="32"/>
    <cellStyle name="SAPEmphasizedEditableDataTotalCell" xfId="33"/>
    <cellStyle name="SAPEmphasizedLockedDataCell" xfId="36"/>
    <cellStyle name="SAPEmphasizedLockedDataTotalCell" xfId="37"/>
    <cellStyle name="SAPEmphasizedReadonlyDataCell" xfId="34"/>
    <cellStyle name="SAPEmphasizedReadonlyDataTotalCell" xfId="35"/>
    <cellStyle name="SAPEmphasizedTotal" xfId="31"/>
    <cellStyle name="SAPExceptionLevel1" xfId="13"/>
    <cellStyle name="SAPExceptionLevel2" xfId="14"/>
    <cellStyle name="SAPExceptionLevel3" xfId="15"/>
    <cellStyle name="SAPExceptionLevel4" xfId="16"/>
    <cellStyle name="SAPExceptionLevel5" xfId="17"/>
    <cellStyle name="SAPExceptionLevel6" xfId="18"/>
    <cellStyle name="SAPExceptionLevel7" xfId="19"/>
    <cellStyle name="SAPExceptionLevel8" xfId="20"/>
    <cellStyle name="SAPExceptionLevel9" xfId="21"/>
    <cellStyle name="SAPHierarchyCell0" xfId="25"/>
    <cellStyle name="SAPHierarchyCell1" xfId="26"/>
    <cellStyle name="SAPHierarchyCell2" xfId="27"/>
    <cellStyle name="SAPHierarchyCell3" xfId="28"/>
    <cellStyle name="SAPHierarchyCell4" xfId="29"/>
    <cellStyle name="SAPLockedDataCell" xfId="9"/>
    <cellStyle name="SAPLockedDataTotalCell" xfId="12"/>
    <cellStyle name="SAPMemberCell" xfId="23"/>
    <cellStyle name="SAPMemberTotalCell" xfId="24"/>
    <cellStyle name="SAPReadonlyDataCell" xfId="8"/>
    <cellStyle name="SAPReadonlyDataTotalCell" xfId="11"/>
  </cellStyles>
  <dxfs count="15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4.9989318521683403E-2"/>
        </patternFill>
      </fill>
    </dxf>
    <dxf>
      <fill>
        <patternFill>
          <bgColor theme="0" tint="-4.9989318521683403E-2"/>
        </patternFill>
      </fill>
    </dxf>
    <dxf>
      <fill>
        <patternFill>
          <bgColor rgb="FFFFFF99"/>
        </patternFill>
      </fill>
    </dxf>
    <dxf>
      <fill>
        <patternFill>
          <bgColor rgb="FFCCFFCC"/>
        </patternFill>
      </fill>
    </dxf>
    <dxf>
      <fill>
        <patternFill>
          <bgColor rgb="FFCCFFCC"/>
        </patternFill>
      </fill>
    </dxf>
    <dxf>
      <fill>
        <patternFill>
          <bgColor rgb="FFFFFF99"/>
        </patternFill>
      </fill>
    </dxf>
    <dxf>
      <fill>
        <patternFill>
          <bgColor rgb="FFCCFFCC"/>
        </patternFill>
      </fill>
    </dxf>
    <dxf>
      <fill>
        <patternFill>
          <bgColor rgb="FFCCFFCC"/>
        </patternFill>
      </fill>
    </dxf>
    <dxf>
      <fill>
        <patternFill>
          <bgColor rgb="FFFFFF99"/>
        </patternFill>
      </fill>
    </dxf>
    <dxf>
      <fill>
        <patternFill>
          <bgColor rgb="FFCCFFCC"/>
        </patternFill>
      </fill>
    </dxf>
    <dxf>
      <fill>
        <patternFill>
          <bgColor rgb="FFCCFFCC"/>
        </patternFill>
      </fill>
    </dxf>
    <dxf>
      <font>
        <color theme="1"/>
      </font>
      <fill>
        <patternFill>
          <bgColor rgb="FFCCFFCC"/>
        </patternFill>
      </fill>
    </dxf>
    <dxf>
      <fill>
        <patternFill>
          <bgColor rgb="FFFFFF99"/>
        </patternFill>
      </fill>
    </dxf>
    <dxf>
      <fill>
        <patternFill>
          <bgColor theme="0"/>
        </patternFill>
      </fill>
    </dxf>
    <dxf>
      <fill>
        <patternFill>
          <bgColor rgb="FFFF0000"/>
        </patternFill>
      </fill>
    </dxf>
    <dxf>
      <font>
        <color theme="1"/>
      </font>
      <fill>
        <patternFill>
          <bgColor rgb="FFCCFFCC"/>
        </patternFill>
      </fill>
    </dxf>
    <dxf>
      <fill>
        <patternFill>
          <bgColor rgb="FFFFFF99"/>
        </patternFill>
      </fill>
    </dxf>
    <dxf>
      <fill>
        <patternFill>
          <bgColor theme="0"/>
        </patternFill>
      </fill>
    </dxf>
    <dxf>
      <fill>
        <patternFill>
          <bgColor rgb="FFFF0000"/>
        </patternFill>
      </fill>
    </dxf>
    <dxf>
      <font>
        <color theme="1"/>
      </font>
      <fill>
        <patternFill>
          <bgColor rgb="FFCCFFCC"/>
        </patternFill>
      </fill>
    </dxf>
    <dxf>
      <fill>
        <patternFill>
          <bgColor rgb="FFFFFF99"/>
        </patternFill>
      </fill>
    </dxf>
    <dxf>
      <fill>
        <patternFill>
          <bgColor theme="0"/>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FF0000"/>
        </patternFill>
      </fill>
    </dxf>
    <dxf>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ont>
        <color theme="1"/>
      </font>
      <fill>
        <patternFill>
          <bgColor rgb="FFCCFFCC"/>
        </patternFill>
      </fill>
    </dxf>
    <dxf>
      <fill>
        <patternFill>
          <bgColor rgb="FFCC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CC"/>
        </patternFill>
      </fill>
    </dxf>
    <dxf>
      <font>
        <color theme="1"/>
      </font>
      <fill>
        <patternFill>
          <bgColor rgb="FFCCFFCC"/>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FF0000"/>
        </patternFill>
      </fill>
    </dxf>
    <dxf>
      <font>
        <color theme="1"/>
      </font>
      <fill>
        <patternFill>
          <bgColor rgb="FFCCFFCC"/>
        </patternFill>
      </fill>
    </dxf>
    <dxf>
      <fill>
        <patternFill>
          <bgColor rgb="FFFF0000"/>
        </patternFill>
      </fill>
    </dxf>
    <dxf>
      <font>
        <color theme="1"/>
      </font>
      <fill>
        <patternFill>
          <bgColor rgb="FFCCFFCC"/>
        </patternFill>
      </fill>
    </dxf>
    <dxf>
      <fill>
        <patternFill>
          <bgColor rgb="FFCCFFCC"/>
        </patternFill>
      </fill>
    </dxf>
    <dxf>
      <fill>
        <patternFill>
          <bgColor rgb="FFFF0000"/>
        </patternFill>
      </fill>
    </dxf>
    <dxf>
      <fill>
        <patternFill>
          <bgColor rgb="FFFF0000"/>
        </patternFill>
      </fill>
    </dxf>
    <dxf>
      <fill>
        <patternFill>
          <bgColor rgb="FFFF0000"/>
        </patternFill>
      </fill>
    </dxf>
    <dxf>
      <font>
        <color theme="1"/>
      </font>
      <fill>
        <patternFill>
          <bgColor rgb="FFCCFFCC"/>
        </patternFill>
      </fill>
    </dxf>
    <dxf>
      <fill>
        <patternFill>
          <bgColor rgb="FFCC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CC"/>
        </patternFill>
      </fill>
    </dxf>
    <dxf>
      <font>
        <color theme="1"/>
      </font>
      <fill>
        <patternFill>
          <bgColor rgb="FFCCFFCC"/>
        </patternFill>
      </fill>
    </dxf>
    <dxf>
      <fill>
        <patternFill>
          <bgColor rgb="FFCCFFCC"/>
        </patternFill>
      </fill>
    </dxf>
    <dxf>
      <fill>
        <patternFill>
          <bgColor rgb="FFCCFFCC"/>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ont>
        <color theme="1"/>
      </font>
      <fill>
        <patternFill>
          <bgColor rgb="FFCCFFCC"/>
        </patternFill>
      </fill>
    </dxf>
    <dxf>
      <fill>
        <patternFill>
          <bgColor rgb="FFFF0000"/>
        </patternFill>
      </fill>
    </dxf>
    <dxf>
      <fill>
        <patternFill>
          <bgColor rgb="FFCCFFCC"/>
        </patternFill>
      </fill>
    </dxf>
    <dxf>
      <fill>
        <patternFill>
          <bgColor rgb="FFCCFFCC"/>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theme="0"/>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CCFFCC"/>
        </patternFill>
      </fill>
    </dxf>
    <dxf>
      <fill>
        <patternFill>
          <bgColor rgb="FFCCFFCC"/>
        </patternFill>
      </fill>
    </dxf>
    <dxf>
      <fill>
        <patternFill>
          <bgColor rgb="FFFF00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CCFFCC"/>
        </patternFill>
      </fill>
    </dxf>
    <dxf>
      <fill>
        <patternFill>
          <bgColor rgb="FFCCFFCC"/>
        </patternFill>
      </fill>
    </dxf>
    <dxf>
      <font>
        <color theme="1"/>
      </font>
      <fill>
        <patternFill>
          <bgColor rgb="FFCCFFCC"/>
        </patternFill>
      </fill>
    </dxf>
    <dxf>
      <fill>
        <patternFill>
          <bgColor rgb="FFCCFFCC"/>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CCFFCC"/>
        </patternFill>
      </fill>
    </dxf>
    <dxf>
      <fill>
        <patternFill>
          <bgColor rgb="FFFF0000"/>
        </patternFill>
      </fill>
    </dxf>
    <dxf>
      <fill>
        <patternFill>
          <bgColor rgb="FFFF0000"/>
        </patternFill>
      </fill>
    </dxf>
    <dxf>
      <fill>
        <patternFill>
          <bgColor rgb="FFFF0000"/>
        </patternFill>
      </fill>
    </dxf>
    <dxf>
      <font>
        <color theme="1"/>
      </font>
      <fill>
        <patternFill>
          <bgColor rgb="FFCCFFCC"/>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99"/>
        </patternFill>
      </fill>
    </dxf>
    <dxf>
      <fill>
        <patternFill>
          <bgColor rgb="FFFFFF99"/>
        </patternFill>
      </fill>
    </dxf>
    <dxf>
      <fill>
        <patternFill>
          <bgColor rgb="FFCCFFCC"/>
        </patternFill>
      </fill>
    </dxf>
    <dxf>
      <fill>
        <patternFill>
          <bgColor rgb="FFFFFF99"/>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8.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C6" sqref="C6"/>
    </sheetView>
  </sheetViews>
  <sheetFormatPr defaultRowHeight="12.75" x14ac:dyDescent="0.25"/>
  <cols>
    <col min="1" max="1" width="36.85546875" style="5" bestFit="1" customWidth="1"/>
    <col min="2" max="2" width="9.140625" style="5"/>
    <col min="3" max="3" width="61.42578125" style="5" bestFit="1" customWidth="1"/>
    <col min="4" max="4" width="23" style="5" customWidth="1"/>
    <col min="5" max="8" width="9.140625" style="5"/>
    <col min="9" max="9" width="9.140625" style="5" hidden="1" customWidth="1"/>
    <col min="10" max="256" width="9.140625" style="5"/>
    <col min="257" max="257" width="36.85546875" style="5" bestFit="1" customWidth="1"/>
    <col min="258" max="258" width="9.140625" style="5"/>
    <col min="259" max="259" width="61.42578125" style="5" bestFit="1" customWidth="1"/>
    <col min="260" max="260" width="23" style="5" customWidth="1"/>
    <col min="261" max="264" width="9.140625" style="5"/>
    <col min="265" max="265" width="0" style="5" hidden="1" customWidth="1"/>
    <col min="266" max="512" width="9.140625" style="5"/>
    <col min="513" max="513" width="36.85546875" style="5" bestFit="1" customWidth="1"/>
    <col min="514" max="514" width="9.140625" style="5"/>
    <col min="515" max="515" width="61.42578125" style="5" bestFit="1" customWidth="1"/>
    <col min="516" max="516" width="23" style="5" customWidth="1"/>
    <col min="517" max="520" width="9.140625" style="5"/>
    <col min="521" max="521" width="0" style="5" hidden="1" customWidth="1"/>
    <col min="522" max="768" width="9.140625" style="5"/>
    <col min="769" max="769" width="36.85546875" style="5" bestFit="1" customWidth="1"/>
    <col min="770" max="770" width="9.140625" style="5"/>
    <col min="771" max="771" width="61.42578125" style="5" bestFit="1" customWidth="1"/>
    <col min="772" max="772" width="23" style="5" customWidth="1"/>
    <col min="773" max="776" width="9.140625" style="5"/>
    <col min="777" max="777" width="0" style="5" hidden="1" customWidth="1"/>
    <col min="778" max="1024" width="9.140625" style="5"/>
    <col min="1025" max="1025" width="36.85546875" style="5" bestFit="1" customWidth="1"/>
    <col min="1026" max="1026" width="9.140625" style="5"/>
    <col min="1027" max="1027" width="61.42578125" style="5" bestFit="1" customWidth="1"/>
    <col min="1028" max="1028" width="23" style="5" customWidth="1"/>
    <col min="1029" max="1032" width="9.140625" style="5"/>
    <col min="1033" max="1033" width="0" style="5" hidden="1" customWidth="1"/>
    <col min="1034" max="1280" width="9.140625" style="5"/>
    <col min="1281" max="1281" width="36.85546875" style="5" bestFit="1" customWidth="1"/>
    <col min="1282" max="1282" width="9.140625" style="5"/>
    <col min="1283" max="1283" width="61.42578125" style="5" bestFit="1" customWidth="1"/>
    <col min="1284" max="1284" width="23" style="5" customWidth="1"/>
    <col min="1285" max="1288" width="9.140625" style="5"/>
    <col min="1289" max="1289" width="0" style="5" hidden="1" customWidth="1"/>
    <col min="1290" max="1536" width="9.140625" style="5"/>
    <col min="1537" max="1537" width="36.85546875" style="5" bestFit="1" customWidth="1"/>
    <col min="1538" max="1538" width="9.140625" style="5"/>
    <col min="1539" max="1539" width="61.42578125" style="5" bestFit="1" customWidth="1"/>
    <col min="1540" max="1540" width="23" style="5" customWidth="1"/>
    <col min="1541" max="1544" width="9.140625" style="5"/>
    <col min="1545" max="1545" width="0" style="5" hidden="1" customWidth="1"/>
    <col min="1546" max="1792" width="9.140625" style="5"/>
    <col min="1793" max="1793" width="36.85546875" style="5" bestFit="1" customWidth="1"/>
    <col min="1794" max="1794" width="9.140625" style="5"/>
    <col min="1795" max="1795" width="61.42578125" style="5" bestFit="1" customWidth="1"/>
    <col min="1796" max="1796" width="23" style="5" customWidth="1"/>
    <col min="1797" max="1800" width="9.140625" style="5"/>
    <col min="1801" max="1801" width="0" style="5" hidden="1" customWidth="1"/>
    <col min="1802" max="2048" width="9.140625" style="5"/>
    <col min="2049" max="2049" width="36.85546875" style="5" bestFit="1" customWidth="1"/>
    <col min="2050" max="2050" width="9.140625" style="5"/>
    <col min="2051" max="2051" width="61.42578125" style="5" bestFit="1" customWidth="1"/>
    <col min="2052" max="2052" width="23" style="5" customWidth="1"/>
    <col min="2053" max="2056" width="9.140625" style="5"/>
    <col min="2057" max="2057" width="0" style="5" hidden="1" customWidth="1"/>
    <col min="2058" max="2304" width="9.140625" style="5"/>
    <col min="2305" max="2305" width="36.85546875" style="5" bestFit="1" customWidth="1"/>
    <col min="2306" max="2306" width="9.140625" style="5"/>
    <col min="2307" max="2307" width="61.42578125" style="5" bestFit="1" customWidth="1"/>
    <col min="2308" max="2308" width="23" style="5" customWidth="1"/>
    <col min="2309" max="2312" width="9.140625" style="5"/>
    <col min="2313" max="2313" width="0" style="5" hidden="1" customWidth="1"/>
    <col min="2314" max="2560" width="9.140625" style="5"/>
    <col min="2561" max="2561" width="36.85546875" style="5" bestFit="1" customWidth="1"/>
    <col min="2562" max="2562" width="9.140625" style="5"/>
    <col min="2563" max="2563" width="61.42578125" style="5" bestFit="1" customWidth="1"/>
    <col min="2564" max="2564" width="23" style="5" customWidth="1"/>
    <col min="2565" max="2568" width="9.140625" style="5"/>
    <col min="2569" max="2569" width="0" style="5" hidden="1" customWidth="1"/>
    <col min="2570" max="2816" width="9.140625" style="5"/>
    <col min="2817" max="2817" width="36.85546875" style="5" bestFit="1" customWidth="1"/>
    <col min="2818" max="2818" width="9.140625" style="5"/>
    <col min="2819" max="2819" width="61.42578125" style="5" bestFit="1" customWidth="1"/>
    <col min="2820" max="2820" width="23" style="5" customWidth="1"/>
    <col min="2821" max="2824" width="9.140625" style="5"/>
    <col min="2825" max="2825" width="0" style="5" hidden="1" customWidth="1"/>
    <col min="2826" max="3072" width="9.140625" style="5"/>
    <col min="3073" max="3073" width="36.85546875" style="5" bestFit="1" customWidth="1"/>
    <col min="3074" max="3074" width="9.140625" style="5"/>
    <col min="3075" max="3075" width="61.42578125" style="5" bestFit="1" customWidth="1"/>
    <col min="3076" max="3076" width="23" style="5" customWidth="1"/>
    <col min="3077" max="3080" width="9.140625" style="5"/>
    <col min="3081" max="3081" width="0" style="5" hidden="1" customWidth="1"/>
    <col min="3082" max="3328" width="9.140625" style="5"/>
    <col min="3329" max="3329" width="36.85546875" style="5" bestFit="1" customWidth="1"/>
    <col min="3330" max="3330" width="9.140625" style="5"/>
    <col min="3331" max="3331" width="61.42578125" style="5" bestFit="1" customWidth="1"/>
    <col min="3332" max="3332" width="23" style="5" customWidth="1"/>
    <col min="3333" max="3336" width="9.140625" style="5"/>
    <col min="3337" max="3337" width="0" style="5" hidden="1" customWidth="1"/>
    <col min="3338" max="3584" width="9.140625" style="5"/>
    <col min="3585" max="3585" width="36.85546875" style="5" bestFit="1" customWidth="1"/>
    <col min="3586" max="3586" width="9.140625" style="5"/>
    <col min="3587" max="3587" width="61.42578125" style="5" bestFit="1" customWidth="1"/>
    <col min="3588" max="3588" width="23" style="5" customWidth="1"/>
    <col min="3589" max="3592" width="9.140625" style="5"/>
    <col min="3593" max="3593" width="0" style="5" hidden="1" customWidth="1"/>
    <col min="3594" max="3840" width="9.140625" style="5"/>
    <col min="3841" max="3841" width="36.85546875" style="5" bestFit="1" customWidth="1"/>
    <col min="3842" max="3842" width="9.140625" style="5"/>
    <col min="3843" max="3843" width="61.42578125" style="5" bestFit="1" customWidth="1"/>
    <col min="3844" max="3844" width="23" style="5" customWidth="1"/>
    <col min="3845" max="3848" width="9.140625" style="5"/>
    <col min="3849" max="3849" width="0" style="5" hidden="1" customWidth="1"/>
    <col min="3850" max="4096" width="9.140625" style="5"/>
    <col min="4097" max="4097" width="36.85546875" style="5" bestFit="1" customWidth="1"/>
    <col min="4098" max="4098" width="9.140625" style="5"/>
    <col min="4099" max="4099" width="61.42578125" style="5" bestFit="1" customWidth="1"/>
    <col min="4100" max="4100" width="23" style="5" customWidth="1"/>
    <col min="4101" max="4104" width="9.140625" style="5"/>
    <col min="4105" max="4105" width="0" style="5" hidden="1" customWidth="1"/>
    <col min="4106" max="4352" width="9.140625" style="5"/>
    <col min="4353" max="4353" width="36.85546875" style="5" bestFit="1" customWidth="1"/>
    <col min="4354" max="4354" width="9.140625" style="5"/>
    <col min="4355" max="4355" width="61.42578125" style="5" bestFit="1" customWidth="1"/>
    <col min="4356" max="4356" width="23" style="5" customWidth="1"/>
    <col min="4357" max="4360" width="9.140625" style="5"/>
    <col min="4361" max="4361" width="0" style="5" hidden="1" customWidth="1"/>
    <col min="4362" max="4608" width="9.140625" style="5"/>
    <col min="4609" max="4609" width="36.85546875" style="5" bestFit="1" customWidth="1"/>
    <col min="4610" max="4610" width="9.140625" style="5"/>
    <col min="4611" max="4611" width="61.42578125" style="5" bestFit="1" customWidth="1"/>
    <col min="4612" max="4612" width="23" style="5" customWidth="1"/>
    <col min="4613" max="4616" width="9.140625" style="5"/>
    <col min="4617" max="4617" width="0" style="5" hidden="1" customWidth="1"/>
    <col min="4618" max="4864" width="9.140625" style="5"/>
    <col min="4865" max="4865" width="36.85546875" style="5" bestFit="1" customWidth="1"/>
    <col min="4866" max="4866" width="9.140625" style="5"/>
    <col min="4867" max="4867" width="61.42578125" style="5" bestFit="1" customWidth="1"/>
    <col min="4868" max="4868" width="23" style="5" customWidth="1"/>
    <col min="4869" max="4872" width="9.140625" style="5"/>
    <col min="4873" max="4873" width="0" style="5" hidden="1" customWidth="1"/>
    <col min="4874" max="5120" width="9.140625" style="5"/>
    <col min="5121" max="5121" width="36.85546875" style="5" bestFit="1" customWidth="1"/>
    <col min="5122" max="5122" width="9.140625" style="5"/>
    <col min="5123" max="5123" width="61.42578125" style="5" bestFit="1" customWidth="1"/>
    <col min="5124" max="5124" width="23" style="5" customWidth="1"/>
    <col min="5125" max="5128" width="9.140625" style="5"/>
    <col min="5129" max="5129" width="0" style="5" hidden="1" customWidth="1"/>
    <col min="5130" max="5376" width="9.140625" style="5"/>
    <col min="5377" max="5377" width="36.85546875" style="5" bestFit="1" customWidth="1"/>
    <col min="5378" max="5378" width="9.140625" style="5"/>
    <col min="5379" max="5379" width="61.42578125" style="5" bestFit="1" customWidth="1"/>
    <col min="5380" max="5380" width="23" style="5" customWidth="1"/>
    <col min="5381" max="5384" width="9.140625" style="5"/>
    <col min="5385" max="5385" width="0" style="5" hidden="1" customWidth="1"/>
    <col min="5386" max="5632" width="9.140625" style="5"/>
    <col min="5633" max="5633" width="36.85546875" style="5" bestFit="1" customWidth="1"/>
    <col min="5634" max="5634" width="9.140625" style="5"/>
    <col min="5635" max="5635" width="61.42578125" style="5" bestFit="1" customWidth="1"/>
    <col min="5636" max="5636" width="23" style="5" customWidth="1"/>
    <col min="5637" max="5640" width="9.140625" style="5"/>
    <col min="5641" max="5641" width="0" style="5" hidden="1" customWidth="1"/>
    <col min="5642" max="5888" width="9.140625" style="5"/>
    <col min="5889" max="5889" width="36.85546875" style="5" bestFit="1" customWidth="1"/>
    <col min="5890" max="5890" width="9.140625" style="5"/>
    <col min="5891" max="5891" width="61.42578125" style="5" bestFit="1" customWidth="1"/>
    <col min="5892" max="5892" width="23" style="5" customWidth="1"/>
    <col min="5893" max="5896" width="9.140625" style="5"/>
    <col min="5897" max="5897" width="0" style="5" hidden="1" customWidth="1"/>
    <col min="5898" max="6144" width="9.140625" style="5"/>
    <col min="6145" max="6145" width="36.85546875" style="5" bestFit="1" customWidth="1"/>
    <col min="6146" max="6146" width="9.140625" style="5"/>
    <col min="6147" max="6147" width="61.42578125" style="5" bestFit="1" customWidth="1"/>
    <col min="6148" max="6148" width="23" style="5" customWidth="1"/>
    <col min="6149" max="6152" width="9.140625" style="5"/>
    <col min="6153" max="6153" width="0" style="5" hidden="1" customWidth="1"/>
    <col min="6154" max="6400" width="9.140625" style="5"/>
    <col min="6401" max="6401" width="36.85546875" style="5" bestFit="1" customWidth="1"/>
    <col min="6402" max="6402" width="9.140625" style="5"/>
    <col min="6403" max="6403" width="61.42578125" style="5" bestFit="1" customWidth="1"/>
    <col min="6404" max="6404" width="23" style="5" customWidth="1"/>
    <col min="6405" max="6408" width="9.140625" style="5"/>
    <col min="6409" max="6409" width="0" style="5" hidden="1" customWidth="1"/>
    <col min="6410" max="6656" width="9.140625" style="5"/>
    <col min="6657" max="6657" width="36.85546875" style="5" bestFit="1" customWidth="1"/>
    <col min="6658" max="6658" width="9.140625" style="5"/>
    <col min="6659" max="6659" width="61.42578125" style="5" bestFit="1" customWidth="1"/>
    <col min="6660" max="6660" width="23" style="5" customWidth="1"/>
    <col min="6661" max="6664" width="9.140625" style="5"/>
    <col min="6665" max="6665" width="0" style="5" hidden="1" customWidth="1"/>
    <col min="6666" max="6912" width="9.140625" style="5"/>
    <col min="6913" max="6913" width="36.85546875" style="5" bestFit="1" customWidth="1"/>
    <col min="6914" max="6914" width="9.140625" style="5"/>
    <col min="6915" max="6915" width="61.42578125" style="5" bestFit="1" customWidth="1"/>
    <col min="6916" max="6916" width="23" style="5" customWidth="1"/>
    <col min="6917" max="6920" width="9.140625" style="5"/>
    <col min="6921" max="6921" width="0" style="5" hidden="1" customWidth="1"/>
    <col min="6922" max="7168" width="9.140625" style="5"/>
    <col min="7169" max="7169" width="36.85546875" style="5" bestFit="1" customWidth="1"/>
    <col min="7170" max="7170" width="9.140625" style="5"/>
    <col min="7171" max="7171" width="61.42578125" style="5" bestFit="1" customWidth="1"/>
    <col min="7172" max="7172" width="23" style="5" customWidth="1"/>
    <col min="7173" max="7176" width="9.140625" style="5"/>
    <col min="7177" max="7177" width="0" style="5" hidden="1" customWidth="1"/>
    <col min="7178" max="7424" width="9.140625" style="5"/>
    <col min="7425" max="7425" width="36.85546875" style="5" bestFit="1" customWidth="1"/>
    <col min="7426" max="7426" width="9.140625" style="5"/>
    <col min="7427" max="7427" width="61.42578125" style="5" bestFit="1" customWidth="1"/>
    <col min="7428" max="7428" width="23" style="5" customWidth="1"/>
    <col min="7429" max="7432" width="9.140625" style="5"/>
    <col min="7433" max="7433" width="0" style="5" hidden="1" customWidth="1"/>
    <col min="7434" max="7680" width="9.140625" style="5"/>
    <col min="7681" max="7681" width="36.85546875" style="5" bestFit="1" customWidth="1"/>
    <col min="7682" max="7682" width="9.140625" style="5"/>
    <col min="7683" max="7683" width="61.42578125" style="5" bestFit="1" customWidth="1"/>
    <col min="7684" max="7684" width="23" style="5" customWidth="1"/>
    <col min="7685" max="7688" width="9.140625" style="5"/>
    <col min="7689" max="7689" width="0" style="5" hidden="1" customWidth="1"/>
    <col min="7690" max="7936" width="9.140625" style="5"/>
    <col min="7937" max="7937" width="36.85546875" style="5" bestFit="1" customWidth="1"/>
    <col min="7938" max="7938" width="9.140625" style="5"/>
    <col min="7939" max="7939" width="61.42578125" style="5" bestFit="1" customWidth="1"/>
    <col min="7940" max="7940" width="23" style="5" customWidth="1"/>
    <col min="7941" max="7944" width="9.140625" style="5"/>
    <col min="7945" max="7945" width="0" style="5" hidden="1" customWidth="1"/>
    <col min="7946" max="8192" width="9.140625" style="5"/>
    <col min="8193" max="8193" width="36.85546875" style="5" bestFit="1" customWidth="1"/>
    <col min="8194" max="8194" width="9.140625" style="5"/>
    <col min="8195" max="8195" width="61.42578125" style="5" bestFit="1" customWidth="1"/>
    <col min="8196" max="8196" width="23" style="5" customWidth="1"/>
    <col min="8197" max="8200" width="9.140625" style="5"/>
    <col min="8201" max="8201" width="0" style="5" hidden="1" customWidth="1"/>
    <col min="8202" max="8448" width="9.140625" style="5"/>
    <col min="8449" max="8449" width="36.85546875" style="5" bestFit="1" customWidth="1"/>
    <col min="8450" max="8450" width="9.140625" style="5"/>
    <col min="8451" max="8451" width="61.42578125" style="5" bestFit="1" customWidth="1"/>
    <col min="8452" max="8452" width="23" style="5" customWidth="1"/>
    <col min="8453" max="8456" width="9.140625" style="5"/>
    <col min="8457" max="8457" width="0" style="5" hidden="1" customWidth="1"/>
    <col min="8458" max="8704" width="9.140625" style="5"/>
    <col min="8705" max="8705" width="36.85546875" style="5" bestFit="1" customWidth="1"/>
    <col min="8706" max="8706" width="9.140625" style="5"/>
    <col min="8707" max="8707" width="61.42578125" style="5" bestFit="1" customWidth="1"/>
    <col min="8708" max="8708" width="23" style="5" customWidth="1"/>
    <col min="8709" max="8712" width="9.140625" style="5"/>
    <col min="8713" max="8713" width="0" style="5" hidden="1" customWidth="1"/>
    <col min="8714" max="8960" width="9.140625" style="5"/>
    <col min="8961" max="8961" width="36.85546875" style="5" bestFit="1" customWidth="1"/>
    <col min="8962" max="8962" width="9.140625" style="5"/>
    <col min="8963" max="8963" width="61.42578125" style="5" bestFit="1" customWidth="1"/>
    <col min="8964" max="8964" width="23" style="5" customWidth="1"/>
    <col min="8965" max="8968" width="9.140625" style="5"/>
    <col min="8969" max="8969" width="0" style="5" hidden="1" customWidth="1"/>
    <col min="8970" max="9216" width="9.140625" style="5"/>
    <col min="9217" max="9217" width="36.85546875" style="5" bestFit="1" customWidth="1"/>
    <col min="9218" max="9218" width="9.140625" style="5"/>
    <col min="9219" max="9219" width="61.42578125" style="5" bestFit="1" customWidth="1"/>
    <col min="9220" max="9220" width="23" style="5" customWidth="1"/>
    <col min="9221" max="9224" width="9.140625" style="5"/>
    <col min="9225" max="9225" width="0" style="5" hidden="1" customWidth="1"/>
    <col min="9226" max="9472" width="9.140625" style="5"/>
    <col min="9473" max="9473" width="36.85546875" style="5" bestFit="1" customWidth="1"/>
    <col min="9474" max="9474" width="9.140625" style="5"/>
    <col min="9475" max="9475" width="61.42578125" style="5" bestFit="1" customWidth="1"/>
    <col min="9476" max="9476" width="23" style="5" customWidth="1"/>
    <col min="9477" max="9480" width="9.140625" style="5"/>
    <col min="9481" max="9481" width="0" style="5" hidden="1" customWidth="1"/>
    <col min="9482" max="9728" width="9.140625" style="5"/>
    <col min="9729" max="9729" width="36.85546875" style="5" bestFit="1" customWidth="1"/>
    <col min="9730" max="9730" width="9.140625" style="5"/>
    <col min="9731" max="9731" width="61.42578125" style="5" bestFit="1" customWidth="1"/>
    <col min="9732" max="9732" width="23" style="5" customWidth="1"/>
    <col min="9733" max="9736" width="9.140625" style="5"/>
    <col min="9737" max="9737" width="0" style="5" hidden="1" customWidth="1"/>
    <col min="9738" max="9984" width="9.140625" style="5"/>
    <col min="9985" max="9985" width="36.85546875" style="5" bestFit="1" customWidth="1"/>
    <col min="9986" max="9986" width="9.140625" style="5"/>
    <col min="9987" max="9987" width="61.42578125" style="5" bestFit="1" customWidth="1"/>
    <col min="9988" max="9988" width="23" style="5" customWidth="1"/>
    <col min="9989" max="9992" width="9.140625" style="5"/>
    <col min="9993" max="9993" width="0" style="5" hidden="1" customWidth="1"/>
    <col min="9994" max="10240" width="9.140625" style="5"/>
    <col min="10241" max="10241" width="36.85546875" style="5" bestFit="1" customWidth="1"/>
    <col min="10242" max="10242" width="9.140625" style="5"/>
    <col min="10243" max="10243" width="61.42578125" style="5" bestFit="1" customWidth="1"/>
    <col min="10244" max="10244" width="23" style="5" customWidth="1"/>
    <col min="10245" max="10248" width="9.140625" style="5"/>
    <col min="10249" max="10249" width="0" style="5" hidden="1" customWidth="1"/>
    <col min="10250" max="10496" width="9.140625" style="5"/>
    <col min="10497" max="10497" width="36.85546875" style="5" bestFit="1" customWidth="1"/>
    <col min="10498" max="10498" width="9.140625" style="5"/>
    <col min="10499" max="10499" width="61.42578125" style="5" bestFit="1" customWidth="1"/>
    <col min="10500" max="10500" width="23" style="5" customWidth="1"/>
    <col min="10501" max="10504" width="9.140625" style="5"/>
    <col min="10505" max="10505" width="0" style="5" hidden="1" customWidth="1"/>
    <col min="10506" max="10752" width="9.140625" style="5"/>
    <col min="10753" max="10753" width="36.85546875" style="5" bestFit="1" customWidth="1"/>
    <col min="10754" max="10754" width="9.140625" style="5"/>
    <col min="10755" max="10755" width="61.42578125" style="5" bestFit="1" customWidth="1"/>
    <col min="10756" max="10756" width="23" style="5" customWidth="1"/>
    <col min="10757" max="10760" width="9.140625" style="5"/>
    <col min="10761" max="10761" width="0" style="5" hidden="1" customWidth="1"/>
    <col min="10762" max="11008" width="9.140625" style="5"/>
    <col min="11009" max="11009" width="36.85546875" style="5" bestFit="1" customWidth="1"/>
    <col min="11010" max="11010" width="9.140625" style="5"/>
    <col min="11011" max="11011" width="61.42578125" style="5" bestFit="1" customWidth="1"/>
    <col min="11012" max="11012" width="23" style="5" customWidth="1"/>
    <col min="11013" max="11016" width="9.140625" style="5"/>
    <col min="11017" max="11017" width="0" style="5" hidden="1" customWidth="1"/>
    <col min="11018" max="11264" width="9.140625" style="5"/>
    <col min="11265" max="11265" width="36.85546875" style="5" bestFit="1" customWidth="1"/>
    <col min="11266" max="11266" width="9.140625" style="5"/>
    <col min="11267" max="11267" width="61.42578125" style="5" bestFit="1" customWidth="1"/>
    <col min="11268" max="11268" width="23" style="5" customWidth="1"/>
    <col min="11269" max="11272" width="9.140625" style="5"/>
    <col min="11273" max="11273" width="0" style="5" hidden="1" customWidth="1"/>
    <col min="11274" max="11520" width="9.140625" style="5"/>
    <col min="11521" max="11521" width="36.85546875" style="5" bestFit="1" customWidth="1"/>
    <col min="11522" max="11522" width="9.140625" style="5"/>
    <col min="11523" max="11523" width="61.42578125" style="5" bestFit="1" customWidth="1"/>
    <col min="11524" max="11524" width="23" style="5" customWidth="1"/>
    <col min="11525" max="11528" width="9.140625" style="5"/>
    <col min="11529" max="11529" width="0" style="5" hidden="1" customWidth="1"/>
    <col min="11530" max="11776" width="9.140625" style="5"/>
    <col min="11777" max="11777" width="36.85546875" style="5" bestFit="1" customWidth="1"/>
    <col min="11778" max="11778" width="9.140625" style="5"/>
    <col min="11779" max="11779" width="61.42578125" style="5" bestFit="1" customWidth="1"/>
    <col min="11780" max="11780" width="23" style="5" customWidth="1"/>
    <col min="11781" max="11784" width="9.140625" style="5"/>
    <col min="11785" max="11785" width="0" style="5" hidden="1" customWidth="1"/>
    <col min="11786" max="12032" width="9.140625" style="5"/>
    <col min="12033" max="12033" width="36.85546875" style="5" bestFit="1" customWidth="1"/>
    <col min="12034" max="12034" width="9.140625" style="5"/>
    <col min="12035" max="12035" width="61.42578125" style="5" bestFit="1" customWidth="1"/>
    <col min="12036" max="12036" width="23" style="5" customWidth="1"/>
    <col min="12037" max="12040" width="9.140625" style="5"/>
    <col min="12041" max="12041" width="0" style="5" hidden="1" customWidth="1"/>
    <col min="12042" max="12288" width="9.140625" style="5"/>
    <col min="12289" max="12289" width="36.85546875" style="5" bestFit="1" customWidth="1"/>
    <col min="12290" max="12290" width="9.140625" style="5"/>
    <col min="12291" max="12291" width="61.42578125" style="5" bestFit="1" customWidth="1"/>
    <col min="12292" max="12292" width="23" style="5" customWidth="1"/>
    <col min="12293" max="12296" width="9.140625" style="5"/>
    <col min="12297" max="12297" width="0" style="5" hidden="1" customWidth="1"/>
    <col min="12298" max="12544" width="9.140625" style="5"/>
    <col min="12545" max="12545" width="36.85546875" style="5" bestFit="1" customWidth="1"/>
    <col min="12546" max="12546" width="9.140625" style="5"/>
    <col min="12547" max="12547" width="61.42578125" style="5" bestFit="1" customWidth="1"/>
    <col min="12548" max="12548" width="23" style="5" customWidth="1"/>
    <col min="12549" max="12552" width="9.140625" style="5"/>
    <col min="12553" max="12553" width="0" style="5" hidden="1" customWidth="1"/>
    <col min="12554" max="12800" width="9.140625" style="5"/>
    <col min="12801" max="12801" width="36.85546875" style="5" bestFit="1" customWidth="1"/>
    <col min="12802" max="12802" width="9.140625" style="5"/>
    <col min="12803" max="12803" width="61.42578125" style="5" bestFit="1" customWidth="1"/>
    <col min="12804" max="12804" width="23" style="5" customWidth="1"/>
    <col min="12805" max="12808" width="9.140625" style="5"/>
    <col min="12809" max="12809" width="0" style="5" hidden="1" customWidth="1"/>
    <col min="12810" max="13056" width="9.140625" style="5"/>
    <col min="13057" max="13057" width="36.85546875" style="5" bestFit="1" customWidth="1"/>
    <col min="13058" max="13058" width="9.140625" style="5"/>
    <col min="13059" max="13059" width="61.42578125" style="5" bestFit="1" customWidth="1"/>
    <col min="13060" max="13060" width="23" style="5" customWidth="1"/>
    <col min="13061" max="13064" width="9.140625" style="5"/>
    <col min="13065" max="13065" width="0" style="5" hidden="1" customWidth="1"/>
    <col min="13066" max="13312" width="9.140625" style="5"/>
    <col min="13313" max="13313" width="36.85546875" style="5" bestFit="1" customWidth="1"/>
    <col min="13314" max="13314" width="9.140625" style="5"/>
    <col min="13315" max="13315" width="61.42578125" style="5" bestFit="1" customWidth="1"/>
    <col min="13316" max="13316" width="23" style="5" customWidth="1"/>
    <col min="13317" max="13320" width="9.140625" style="5"/>
    <col min="13321" max="13321" width="0" style="5" hidden="1" customWidth="1"/>
    <col min="13322" max="13568" width="9.140625" style="5"/>
    <col min="13569" max="13569" width="36.85546875" style="5" bestFit="1" customWidth="1"/>
    <col min="13570" max="13570" width="9.140625" style="5"/>
    <col min="13571" max="13571" width="61.42578125" style="5" bestFit="1" customWidth="1"/>
    <col min="13572" max="13572" width="23" style="5" customWidth="1"/>
    <col min="13573" max="13576" width="9.140625" style="5"/>
    <col min="13577" max="13577" width="0" style="5" hidden="1" customWidth="1"/>
    <col min="13578" max="13824" width="9.140625" style="5"/>
    <col min="13825" max="13825" width="36.85546875" style="5" bestFit="1" customWidth="1"/>
    <col min="13826" max="13826" width="9.140625" style="5"/>
    <col min="13827" max="13827" width="61.42578125" style="5" bestFit="1" customWidth="1"/>
    <col min="13828" max="13828" width="23" style="5" customWidth="1"/>
    <col min="13829" max="13832" width="9.140625" style="5"/>
    <col min="13833" max="13833" width="0" style="5" hidden="1" customWidth="1"/>
    <col min="13834" max="14080" width="9.140625" style="5"/>
    <col min="14081" max="14081" width="36.85546875" style="5" bestFit="1" customWidth="1"/>
    <col min="14082" max="14082" width="9.140625" style="5"/>
    <col min="14083" max="14083" width="61.42578125" style="5" bestFit="1" customWidth="1"/>
    <col min="14084" max="14084" width="23" style="5" customWidth="1"/>
    <col min="14085" max="14088" width="9.140625" style="5"/>
    <col min="14089" max="14089" width="0" style="5" hidden="1" customWidth="1"/>
    <col min="14090" max="14336" width="9.140625" style="5"/>
    <col min="14337" max="14337" width="36.85546875" style="5" bestFit="1" customWidth="1"/>
    <col min="14338" max="14338" width="9.140625" style="5"/>
    <col min="14339" max="14339" width="61.42578125" style="5" bestFit="1" customWidth="1"/>
    <col min="14340" max="14340" width="23" style="5" customWidth="1"/>
    <col min="14341" max="14344" width="9.140625" style="5"/>
    <col min="14345" max="14345" width="0" style="5" hidden="1" customWidth="1"/>
    <col min="14346" max="14592" width="9.140625" style="5"/>
    <col min="14593" max="14593" width="36.85546875" style="5" bestFit="1" customWidth="1"/>
    <col min="14594" max="14594" width="9.140625" style="5"/>
    <col min="14595" max="14595" width="61.42578125" style="5" bestFit="1" customWidth="1"/>
    <col min="14596" max="14596" width="23" style="5" customWidth="1"/>
    <col min="14597" max="14600" width="9.140625" style="5"/>
    <col min="14601" max="14601" width="0" style="5" hidden="1" customWidth="1"/>
    <col min="14602" max="14848" width="9.140625" style="5"/>
    <col min="14849" max="14849" width="36.85546875" style="5" bestFit="1" customWidth="1"/>
    <col min="14850" max="14850" width="9.140625" style="5"/>
    <col min="14851" max="14851" width="61.42578125" style="5" bestFit="1" customWidth="1"/>
    <col min="14852" max="14852" width="23" style="5" customWidth="1"/>
    <col min="14853" max="14856" width="9.140625" style="5"/>
    <col min="14857" max="14857" width="0" style="5" hidden="1" customWidth="1"/>
    <col min="14858" max="15104" width="9.140625" style="5"/>
    <col min="15105" max="15105" width="36.85546875" style="5" bestFit="1" customWidth="1"/>
    <col min="15106" max="15106" width="9.140625" style="5"/>
    <col min="15107" max="15107" width="61.42578125" style="5" bestFit="1" customWidth="1"/>
    <col min="15108" max="15108" width="23" style="5" customWidth="1"/>
    <col min="15109" max="15112" width="9.140625" style="5"/>
    <col min="15113" max="15113" width="0" style="5" hidden="1" customWidth="1"/>
    <col min="15114" max="15360" width="9.140625" style="5"/>
    <col min="15361" max="15361" width="36.85546875" style="5" bestFit="1" customWidth="1"/>
    <col min="15362" max="15362" width="9.140625" style="5"/>
    <col min="15363" max="15363" width="61.42578125" style="5" bestFit="1" customWidth="1"/>
    <col min="15364" max="15364" width="23" style="5" customWidth="1"/>
    <col min="15365" max="15368" width="9.140625" style="5"/>
    <col min="15369" max="15369" width="0" style="5" hidden="1" customWidth="1"/>
    <col min="15370" max="15616" width="9.140625" style="5"/>
    <col min="15617" max="15617" width="36.85546875" style="5" bestFit="1" customWidth="1"/>
    <col min="15618" max="15618" width="9.140625" style="5"/>
    <col min="15619" max="15619" width="61.42578125" style="5" bestFit="1" customWidth="1"/>
    <col min="15620" max="15620" width="23" style="5" customWidth="1"/>
    <col min="15621" max="15624" width="9.140625" style="5"/>
    <col min="15625" max="15625" width="0" style="5" hidden="1" customWidth="1"/>
    <col min="15626" max="15872" width="9.140625" style="5"/>
    <col min="15873" max="15873" width="36.85546875" style="5" bestFit="1" customWidth="1"/>
    <col min="15874" max="15874" width="9.140625" style="5"/>
    <col min="15875" max="15875" width="61.42578125" style="5" bestFit="1" customWidth="1"/>
    <col min="15876" max="15876" width="23" style="5" customWidth="1"/>
    <col min="15877" max="15880" width="9.140625" style="5"/>
    <col min="15881" max="15881" width="0" style="5" hidden="1" customWidth="1"/>
    <col min="15882" max="16128" width="9.140625" style="5"/>
    <col min="16129" max="16129" width="36.85546875" style="5" bestFit="1" customWidth="1"/>
    <col min="16130" max="16130" width="9.140625" style="5"/>
    <col min="16131" max="16131" width="61.42578125" style="5" bestFit="1" customWidth="1"/>
    <col min="16132" max="16132" width="23" style="5" customWidth="1"/>
    <col min="16133" max="16136" width="9.140625" style="5"/>
    <col min="16137" max="16137" width="0" style="5" hidden="1" customWidth="1"/>
    <col min="16138" max="16384" width="9.140625" style="5"/>
  </cols>
  <sheetData>
    <row r="1" spans="1:9" ht="21" thickBot="1" x14ac:dyDescent="0.3">
      <c r="A1" s="1042" t="s">
        <v>1362</v>
      </c>
      <c r="B1" s="1042"/>
      <c r="C1" s="1042"/>
      <c r="D1" s="1042"/>
      <c r="E1" s="1042"/>
      <c r="F1" s="1042"/>
    </row>
    <row r="2" spans="1:9" ht="17.25" customHeight="1" thickBot="1" x14ac:dyDescent="0.3">
      <c r="A2" s="259" t="s">
        <v>1</v>
      </c>
      <c r="B2" s="260" t="s">
        <v>816</v>
      </c>
      <c r="C2" s="261" t="s">
        <v>1632</v>
      </c>
      <c r="D2" s="260" t="s">
        <v>6</v>
      </c>
      <c r="E2" s="260" t="s">
        <v>7</v>
      </c>
      <c r="F2" s="262" t="s">
        <v>1633</v>
      </c>
    </row>
    <row r="3" spans="1:9" ht="18.75" customHeight="1" thickBot="1" x14ac:dyDescent="0.3">
      <c r="A3" s="948" t="s">
        <v>1363</v>
      </c>
      <c r="B3" s="949"/>
      <c r="C3" s="949"/>
      <c r="D3" s="949"/>
      <c r="E3" s="949"/>
      <c r="F3" s="950"/>
      <c r="I3" s="5" t="s">
        <v>1826</v>
      </c>
    </row>
    <row r="4" spans="1:9" ht="18.75" customHeight="1" x14ac:dyDescent="0.25">
      <c r="A4" s="10" t="s">
        <v>1364</v>
      </c>
      <c r="B4" s="8">
        <v>1</v>
      </c>
      <c r="C4" s="4" t="s">
        <v>1827</v>
      </c>
      <c r="D4" s="8" t="s">
        <v>14</v>
      </c>
      <c r="E4" s="213" t="s">
        <v>1650</v>
      </c>
      <c r="F4" s="263">
        <v>210</v>
      </c>
      <c r="I4" s="5" t="s">
        <v>1828</v>
      </c>
    </row>
    <row r="5" spans="1:9" ht="18.75" customHeight="1" x14ac:dyDescent="0.25">
      <c r="A5" s="11" t="s">
        <v>1365</v>
      </c>
      <c r="B5" s="248">
        <v>2</v>
      </c>
      <c r="C5" s="473" t="s">
        <v>1829</v>
      </c>
      <c r="D5" s="248" t="s">
        <v>14</v>
      </c>
      <c r="E5" s="11" t="s">
        <v>1650</v>
      </c>
      <c r="F5" s="12">
        <v>210</v>
      </c>
      <c r="I5" s="5" t="s">
        <v>1830</v>
      </c>
    </row>
    <row r="6" spans="1:9" ht="18.75" customHeight="1" x14ac:dyDescent="0.25">
      <c r="A6" s="11" t="s">
        <v>1366</v>
      </c>
      <c r="B6" s="248">
        <v>3</v>
      </c>
      <c r="C6" s="473" t="s">
        <v>1831</v>
      </c>
      <c r="D6" s="248" t="s">
        <v>14</v>
      </c>
      <c r="E6" s="11" t="s">
        <v>1650</v>
      </c>
      <c r="F6" s="12">
        <v>210</v>
      </c>
      <c r="I6" s="5" t="s">
        <v>1832</v>
      </c>
    </row>
    <row r="7" spans="1:9" ht="18.75" customHeight="1" thickBot="1" x14ac:dyDescent="0.3">
      <c r="A7" s="10" t="s">
        <v>1367</v>
      </c>
      <c r="B7" s="218">
        <v>4</v>
      </c>
      <c r="C7" s="4" t="s">
        <v>1833</v>
      </c>
      <c r="D7" s="218" t="s">
        <v>2232</v>
      </c>
      <c r="E7" s="217" t="s">
        <v>1834</v>
      </c>
      <c r="F7" s="264">
        <v>175</v>
      </c>
      <c r="I7" s="5" t="s">
        <v>1835</v>
      </c>
    </row>
    <row r="8" spans="1:9" ht="18.75" customHeight="1" thickBot="1" x14ac:dyDescent="0.3">
      <c r="A8" s="948" t="s">
        <v>1368</v>
      </c>
      <c r="B8" s="949"/>
      <c r="C8" s="949"/>
      <c r="D8" s="949"/>
      <c r="E8" s="949"/>
      <c r="F8" s="950"/>
      <c r="I8" s="5" t="s">
        <v>1836</v>
      </c>
    </row>
    <row r="9" spans="1:9" ht="18.75" customHeight="1" x14ac:dyDescent="0.25">
      <c r="A9" s="10" t="s">
        <v>1369</v>
      </c>
      <c r="B9" s="8">
        <v>1</v>
      </c>
      <c r="C9" s="4" t="s">
        <v>1857</v>
      </c>
      <c r="D9" s="8" t="s">
        <v>14</v>
      </c>
      <c r="E9" s="213" t="s">
        <v>1650</v>
      </c>
      <c r="F9" s="263">
        <v>209</v>
      </c>
      <c r="I9" s="5" t="s">
        <v>1837</v>
      </c>
    </row>
    <row r="10" spans="1:9" ht="18.75" customHeight="1" x14ac:dyDescent="0.25">
      <c r="A10" s="11" t="s">
        <v>1370</v>
      </c>
      <c r="B10" s="248">
        <v>2</v>
      </c>
      <c r="C10" s="473" t="s">
        <v>1838</v>
      </c>
      <c r="D10" s="248" t="s">
        <v>14</v>
      </c>
      <c r="E10" s="11" t="s">
        <v>1650</v>
      </c>
      <c r="F10" s="12">
        <v>209</v>
      </c>
      <c r="I10" s="5" t="s">
        <v>1839</v>
      </c>
    </row>
    <row r="11" spans="1:9" ht="18.75" customHeight="1" x14ac:dyDescent="0.25">
      <c r="A11" s="11" t="s">
        <v>1371</v>
      </c>
      <c r="B11" s="248">
        <v>3</v>
      </c>
      <c r="C11" s="473" t="s">
        <v>1858</v>
      </c>
      <c r="D11" s="248" t="s">
        <v>14</v>
      </c>
      <c r="E11" s="11" t="s">
        <v>1650</v>
      </c>
      <c r="F11" s="12">
        <v>209</v>
      </c>
    </row>
    <row r="12" spans="1:9" ht="18.75" customHeight="1" thickBot="1" x14ac:dyDescent="0.3">
      <c r="A12" s="10" t="s">
        <v>1372</v>
      </c>
      <c r="B12" s="218">
        <v>4</v>
      </c>
      <c r="C12" s="4" t="s">
        <v>1840</v>
      </c>
      <c r="D12" s="218" t="s">
        <v>2232</v>
      </c>
      <c r="E12" s="217" t="s">
        <v>1834</v>
      </c>
      <c r="F12" s="264">
        <v>175</v>
      </c>
    </row>
    <row r="13" spans="1:9" ht="18.75" customHeight="1" thickBot="1" x14ac:dyDescent="0.3">
      <c r="A13" s="948" t="s">
        <v>1373</v>
      </c>
      <c r="B13" s="949"/>
      <c r="C13" s="949"/>
      <c r="D13" s="949"/>
      <c r="E13" s="949"/>
      <c r="F13" s="950"/>
    </row>
    <row r="14" spans="1:9" ht="18.75" customHeight="1" x14ac:dyDescent="0.25">
      <c r="A14" s="10" t="s">
        <v>1374</v>
      </c>
      <c r="B14" s="8">
        <v>1</v>
      </c>
      <c r="C14" s="4" t="s">
        <v>1841</v>
      </c>
      <c r="D14" s="8" t="s">
        <v>14</v>
      </c>
      <c r="E14" s="213" t="s">
        <v>1650</v>
      </c>
      <c r="F14" s="263">
        <v>210</v>
      </c>
    </row>
    <row r="15" spans="1:9" ht="18.75" customHeight="1" x14ac:dyDescent="0.25">
      <c r="A15" s="11" t="s">
        <v>1375</v>
      </c>
      <c r="B15" s="248">
        <v>2</v>
      </c>
      <c r="C15" s="265" t="s">
        <v>1842</v>
      </c>
      <c r="D15" s="248" t="s">
        <v>14</v>
      </c>
      <c r="E15" s="11" t="s">
        <v>1650</v>
      </c>
      <c r="F15" s="12">
        <v>210</v>
      </c>
    </row>
    <row r="16" spans="1:9" ht="18.75" customHeight="1" x14ac:dyDescent="0.25">
      <c r="A16" s="11" t="s">
        <v>1376</v>
      </c>
      <c r="B16" s="248">
        <v>3</v>
      </c>
      <c r="C16" s="473" t="s">
        <v>1843</v>
      </c>
      <c r="D16" s="248" t="s">
        <v>14</v>
      </c>
      <c r="E16" s="11" t="s">
        <v>1650</v>
      </c>
      <c r="F16" s="12">
        <v>210</v>
      </c>
    </row>
    <row r="17" spans="1:6" ht="18.75" customHeight="1" thickBot="1" x14ac:dyDescent="0.3">
      <c r="A17" s="10" t="s">
        <v>1377</v>
      </c>
      <c r="B17" s="218">
        <v>4</v>
      </c>
      <c r="C17" s="4" t="s">
        <v>1844</v>
      </c>
      <c r="D17" s="218" t="s">
        <v>2232</v>
      </c>
      <c r="E17" s="217" t="s">
        <v>1834</v>
      </c>
      <c r="F17" s="264">
        <v>175</v>
      </c>
    </row>
    <row r="18" spans="1:6" ht="18.75" customHeight="1" thickBot="1" x14ac:dyDescent="0.3">
      <c r="A18" s="948" t="s">
        <v>1378</v>
      </c>
      <c r="B18" s="949"/>
      <c r="C18" s="949"/>
      <c r="D18" s="949"/>
      <c r="E18" s="949"/>
      <c r="F18" s="950"/>
    </row>
    <row r="19" spans="1:6" ht="18.75" customHeight="1" x14ac:dyDescent="0.25">
      <c r="A19" s="10" t="s">
        <v>1379</v>
      </c>
      <c r="B19" s="8">
        <v>1</v>
      </c>
      <c r="C19" s="4" t="s">
        <v>1845</v>
      </c>
      <c r="D19" s="8" t="s">
        <v>14</v>
      </c>
      <c r="E19" s="213" t="s">
        <v>1834</v>
      </c>
      <c r="F19" s="263">
        <v>175</v>
      </c>
    </row>
    <row r="20" spans="1:6" ht="18.75" customHeight="1" x14ac:dyDescent="0.25">
      <c r="A20" s="11" t="s">
        <v>1380</v>
      </c>
      <c r="B20" s="248">
        <v>2</v>
      </c>
      <c r="C20" s="473" t="s">
        <v>1846</v>
      </c>
      <c r="D20" s="248" t="s">
        <v>14</v>
      </c>
      <c r="E20" s="11" t="s">
        <v>1834</v>
      </c>
      <c r="F20" s="12">
        <v>175</v>
      </c>
    </row>
    <row r="21" spans="1:6" ht="18.75" customHeight="1" x14ac:dyDescent="0.25">
      <c r="A21" s="11" t="s">
        <v>1381</v>
      </c>
      <c r="B21" s="248">
        <v>3</v>
      </c>
      <c r="C21" s="473" t="s">
        <v>1847</v>
      </c>
      <c r="D21" s="248" t="s">
        <v>14</v>
      </c>
      <c r="E21" s="11" t="s">
        <v>1834</v>
      </c>
      <c r="F21" s="12">
        <v>175</v>
      </c>
    </row>
    <row r="22" spans="1:6" ht="18.75" customHeight="1" thickBot="1" x14ac:dyDescent="0.3">
      <c r="A22" s="10" t="s">
        <v>1382</v>
      </c>
      <c r="B22" s="218">
        <v>4</v>
      </c>
      <c r="C22" s="4" t="s">
        <v>1848</v>
      </c>
      <c r="D22" s="218" t="s">
        <v>2232</v>
      </c>
      <c r="E22" s="217" t="s">
        <v>1834</v>
      </c>
      <c r="F22" s="264">
        <v>175</v>
      </c>
    </row>
    <row r="23" spans="1:6" ht="18.75" customHeight="1" thickBot="1" x14ac:dyDescent="0.3">
      <c r="A23" s="948" t="s">
        <v>1383</v>
      </c>
      <c r="B23" s="949"/>
      <c r="C23" s="949"/>
      <c r="D23" s="949"/>
      <c r="E23" s="949"/>
      <c r="F23" s="950"/>
    </row>
    <row r="24" spans="1:6" ht="18.75" customHeight="1" x14ac:dyDescent="0.25">
      <c r="A24" s="10" t="s">
        <v>1384</v>
      </c>
      <c r="B24" s="8">
        <v>1</v>
      </c>
      <c r="C24" s="4" t="s">
        <v>1849</v>
      </c>
      <c r="D24" s="8" t="s">
        <v>14</v>
      </c>
      <c r="E24" s="213" t="s">
        <v>1834</v>
      </c>
      <c r="F24" s="263">
        <v>175</v>
      </c>
    </row>
    <row r="25" spans="1:6" ht="18.75" customHeight="1" x14ac:dyDescent="0.25">
      <c r="A25" s="11" t="s">
        <v>1385</v>
      </c>
      <c r="B25" s="248">
        <v>2</v>
      </c>
      <c r="C25" s="473" t="s">
        <v>1850</v>
      </c>
      <c r="D25" s="248" t="s">
        <v>14</v>
      </c>
      <c r="E25" s="11" t="s">
        <v>1834</v>
      </c>
      <c r="F25" s="12">
        <v>175</v>
      </c>
    </row>
    <row r="26" spans="1:6" ht="18.75" customHeight="1" x14ac:dyDescent="0.25">
      <c r="A26" s="11" t="s">
        <v>1386</v>
      </c>
      <c r="B26" s="248">
        <v>3</v>
      </c>
      <c r="C26" s="473" t="s">
        <v>1851</v>
      </c>
      <c r="D26" s="248" t="s">
        <v>14</v>
      </c>
      <c r="E26" s="11" t="s">
        <v>1834</v>
      </c>
      <c r="F26" s="12">
        <v>175</v>
      </c>
    </row>
    <row r="27" spans="1:6" ht="18.75" customHeight="1" thickBot="1" x14ac:dyDescent="0.3">
      <c r="A27" s="10" t="s">
        <v>1387</v>
      </c>
      <c r="B27" s="218">
        <v>4</v>
      </c>
      <c r="C27" s="4" t="s">
        <v>1852</v>
      </c>
      <c r="D27" s="218" t="s">
        <v>2232</v>
      </c>
      <c r="E27" s="217" t="s">
        <v>1834</v>
      </c>
      <c r="F27" s="264">
        <v>175</v>
      </c>
    </row>
    <row r="28" spans="1:6" ht="18.75" customHeight="1" thickBot="1" x14ac:dyDescent="0.3">
      <c r="A28" s="948" t="s">
        <v>1818</v>
      </c>
      <c r="B28" s="949"/>
      <c r="C28" s="949"/>
      <c r="D28" s="949"/>
      <c r="E28" s="949"/>
      <c r="F28" s="950"/>
    </row>
    <row r="29" spans="1:6" ht="18.75" customHeight="1" x14ac:dyDescent="0.25">
      <c r="A29" s="10" t="s">
        <v>1819</v>
      </c>
      <c r="B29" s="8">
        <v>1</v>
      </c>
      <c r="C29" s="4" t="s">
        <v>1853</v>
      </c>
      <c r="D29" s="8" t="s">
        <v>32</v>
      </c>
      <c r="E29" s="213" t="s">
        <v>1854</v>
      </c>
      <c r="F29" s="263">
        <v>87</v>
      </c>
    </row>
    <row r="30" spans="1:6" ht="18.75" customHeight="1" x14ac:dyDescent="0.25">
      <c r="A30" s="11" t="s">
        <v>1820</v>
      </c>
      <c r="B30" s="248">
        <v>2</v>
      </c>
      <c r="C30" s="473" t="s">
        <v>1855</v>
      </c>
      <c r="D30" s="248" t="s">
        <v>32</v>
      </c>
      <c r="E30" s="11" t="s">
        <v>1854</v>
      </c>
      <c r="F30" s="12">
        <v>87</v>
      </c>
    </row>
    <row r="31" spans="1:6" ht="18.75" customHeight="1" thickBot="1" x14ac:dyDescent="0.3">
      <c r="A31" s="217" t="s">
        <v>1821</v>
      </c>
      <c r="B31" s="218">
        <v>3</v>
      </c>
      <c r="C31" s="219" t="s">
        <v>1856</v>
      </c>
      <c r="D31" s="218" t="s">
        <v>32</v>
      </c>
      <c r="E31" s="217" t="s">
        <v>1854</v>
      </c>
      <c r="F31" s="264">
        <v>87</v>
      </c>
    </row>
    <row r="32" spans="1: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sheetData>
  <sheetProtection password="8719" sheet="1" objects="1" scenarios="1" formatCells="0" formatRows="0" insertColumns="0" insertRows="0"/>
  <mergeCells count="7">
    <mergeCell ref="A28:F28"/>
    <mergeCell ref="A1:F1"/>
    <mergeCell ref="A3:F3"/>
    <mergeCell ref="A8:F8"/>
    <mergeCell ref="A13:F13"/>
    <mergeCell ref="A18:F18"/>
    <mergeCell ref="A23:F23"/>
  </mergeCells>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pane ySplit="2" topLeftCell="A3" activePane="bottomLeft" state="frozen"/>
      <selection pane="bottomLeft" sqref="A1:E1"/>
    </sheetView>
  </sheetViews>
  <sheetFormatPr defaultRowHeight="12.75" x14ac:dyDescent="0.25"/>
  <cols>
    <col min="1" max="1" width="36.85546875" style="5" bestFit="1" customWidth="1"/>
    <col min="2" max="2" width="61.42578125" style="5" customWidth="1"/>
    <col min="3" max="3" width="23" style="5" customWidth="1"/>
    <col min="4" max="7" width="9.140625" style="5"/>
    <col min="8" max="8" width="9.140625" style="5" hidden="1" customWidth="1"/>
    <col min="9" max="255" width="9.140625" style="5"/>
    <col min="256" max="256" width="36.85546875" style="5" bestFit="1" customWidth="1"/>
    <col min="257" max="257" width="9.140625" style="5"/>
    <col min="258" max="258" width="61.42578125" style="5" bestFit="1" customWidth="1"/>
    <col min="259" max="259" width="23" style="5" customWidth="1"/>
    <col min="260" max="263" width="9.140625" style="5"/>
    <col min="264" max="264" width="0" style="5" hidden="1" customWidth="1"/>
    <col min="265" max="511" width="9.140625" style="5"/>
    <col min="512" max="512" width="36.85546875" style="5" bestFit="1" customWidth="1"/>
    <col min="513" max="513" width="9.140625" style="5"/>
    <col min="514" max="514" width="61.42578125" style="5" bestFit="1" customWidth="1"/>
    <col min="515" max="515" width="23" style="5" customWidth="1"/>
    <col min="516" max="519" width="9.140625" style="5"/>
    <col min="520" max="520" width="0" style="5" hidden="1" customWidth="1"/>
    <col min="521" max="767" width="9.140625" style="5"/>
    <col min="768" max="768" width="36.85546875" style="5" bestFit="1" customWidth="1"/>
    <col min="769" max="769" width="9.140625" style="5"/>
    <col min="770" max="770" width="61.42578125" style="5" bestFit="1" customWidth="1"/>
    <col min="771" max="771" width="23" style="5" customWidth="1"/>
    <col min="772" max="775" width="9.140625" style="5"/>
    <col min="776" max="776" width="0" style="5" hidden="1" customWidth="1"/>
    <col min="777" max="1023" width="9.140625" style="5"/>
    <col min="1024" max="1024" width="36.85546875" style="5" bestFit="1" customWidth="1"/>
    <col min="1025" max="1025" width="9.140625" style="5"/>
    <col min="1026" max="1026" width="61.42578125" style="5" bestFit="1" customWidth="1"/>
    <col min="1027" max="1027" width="23" style="5" customWidth="1"/>
    <col min="1028" max="1031" width="9.140625" style="5"/>
    <col min="1032" max="1032" width="0" style="5" hidden="1" customWidth="1"/>
    <col min="1033" max="1279" width="9.140625" style="5"/>
    <col min="1280" max="1280" width="36.85546875" style="5" bestFit="1" customWidth="1"/>
    <col min="1281" max="1281" width="9.140625" style="5"/>
    <col min="1282" max="1282" width="61.42578125" style="5" bestFit="1" customWidth="1"/>
    <col min="1283" max="1283" width="23" style="5" customWidth="1"/>
    <col min="1284" max="1287" width="9.140625" style="5"/>
    <col min="1288" max="1288" width="0" style="5" hidden="1" customWidth="1"/>
    <col min="1289" max="1535" width="9.140625" style="5"/>
    <col min="1536" max="1536" width="36.85546875" style="5" bestFit="1" customWidth="1"/>
    <col min="1537" max="1537" width="9.140625" style="5"/>
    <col min="1538" max="1538" width="61.42578125" style="5" bestFit="1" customWidth="1"/>
    <col min="1539" max="1539" width="23" style="5" customWidth="1"/>
    <col min="1540" max="1543" width="9.140625" style="5"/>
    <col min="1544" max="1544" width="0" style="5" hidden="1" customWidth="1"/>
    <col min="1545" max="1791" width="9.140625" style="5"/>
    <col min="1792" max="1792" width="36.85546875" style="5" bestFit="1" customWidth="1"/>
    <col min="1793" max="1793" width="9.140625" style="5"/>
    <col min="1794" max="1794" width="61.42578125" style="5" bestFit="1" customWidth="1"/>
    <col min="1795" max="1795" width="23" style="5" customWidth="1"/>
    <col min="1796" max="1799" width="9.140625" style="5"/>
    <col min="1800" max="1800" width="0" style="5" hidden="1" customWidth="1"/>
    <col min="1801" max="2047" width="9.140625" style="5"/>
    <col min="2048" max="2048" width="36.85546875" style="5" bestFit="1" customWidth="1"/>
    <col min="2049" max="2049" width="9.140625" style="5"/>
    <col min="2050" max="2050" width="61.42578125" style="5" bestFit="1" customWidth="1"/>
    <col min="2051" max="2051" width="23" style="5" customWidth="1"/>
    <col min="2052" max="2055" width="9.140625" style="5"/>
    <col min="2056" max="2056" width="0" style="5" hidden="1" customWidth="1"/>
    <col min="2057" max="2303" width="9.140625" style="5"/>
    <col min="2304" max="2304" width="36.85546875" style="5" bestFit="1" customWidth="1"/>
    <col min="2305" max="2305" width="9.140625" style="5"/>
    <col min="2306" max="2306" width="61.42578125" style="5" bestFit="1" customWidth="1"/>
    <col min="2307" max="2307" width="23" style="5" customWidth="1"/>
    <col min="2308" max="2311" width="9.140625" style="5"/>
    <col min="2312" max="2312" width="0" style="5" hidden="1" customWidth="1"/>
    <col min="2313" max="2559" width="9.140625" style="5"/>
    <col min="2560" max="2560" width="36.85546875" style="5" bestFit="1" customWidth="1"/>
    <col min="2561" max="2561" width="9.140625" style="5"/>
    <col min="2562" max="2562" width="61.42578125" style="5" bestFit="1" customWidth="1"/>
    <col min="2563" max="2563" width="23" style="5" customWidth="1"/>
    <col min="2564" max="2567" width="9.140625" style="5"/>
    <col min="2568" max="2568" width="0" style="5" hidden="1" customWidth="1"/>
    <col min="2569" max="2815" width="9.140625" style="5"/>
    <col min="2816" max="2816" width="36.85546875" style="5" bestFit="1" customWidth="1"/>
    <col min="2817" max="2817" width="9.140625" style="5"/>
    <col min="2818" max="2818" width="61.42578125" style="5" bestFit="1" customWidth="1"/>
    <col min="2819" max="2819" width="23" style="5" customWidth="1"/>
    <col min="2820" max="2823" width="9.140625" style="5"/>
    <col min="2824" max="2824" width="0" style="5" hidden="1" customWidth="1"/>
    <col min="2825" max="3071" width="9.140625" style="5"/>
    <col min="3072" max="3072" width="36.85546875" style="5" bestFit="1" customWidth="1"/>
    <col min="3073" max="3073" width="9.140625" style="5"/>
    <col min="3074" max="3074" width="61.42578125" style="5" bestFit="1" customWidth="1"/>
    <col min="3075" max="3075" width="23" style="5" customWidth="1"/>
    <col min="3076" max="3079" width="9.140625" style="5"/>
    <col min="3080" max="3080" width="0" style="5" hidden="1" customWidth="1"/>
    <col min="3081" max="3327" width="9.140625" style="5"/>
    <col min="3328" max="3328" width="36.85546875" style="5" bestFit="1" customWidth="1"/>
    <col min="3329" max="3329" width="9.140625" style="5"/>
    <col min="3330" max="3330" width="61.42578125" style="5" bestFit="1" customWidth="1"/>
    <col min="3331" max="3331" width="23" style="5" customWidth="1"/>
    <col min="3332" max="3335" width="9.140625" style="5"/>
    <col min="3336" max="3336" width="0" style="5" hidden="1" customWidth="1"/>
    <col min="3337" max="3583" width="9.140625" style="5"/>
    <col min="3584" max="3584" width="36.85546875" style="5" bestFit="1" customWidth="1"/>
    <col min="3585" max="3585" width="9.140625" style="5"/>
    <col min="3586" max="3586" width="61.42578125" style="5" bestFit="1" customWidth="1"/>
    <col min="3587" max="3587" width="23" style="5" customWidth="1"/>
    <col min="3588" max="3591" width="9.140625" style="5"/>
    <col min="3592" max="3592" width="0" style="5" hidden="1" customWidth="1"/>
    <col min="3593" max="3839" width="9.140625" style="5"/>
    <col min="3840" max="3840" width="36.85546875" style="5" bestFit="1" customWidth="1"/>
    <col min="3841" max="3841" width="9.140625" style="5"/>
    <col min="3842" max="3842" width="61.42578125" style="5" bestFit="1" customWidth="1"/>
    <col min="3843" max="3843" width="23" style="5" customWidth="1"/>
    <col min="3844" max="3847" width="9.140625" style="5"/>
    <col min="3848" max="3848" width="0" style="5" hidden="1" customWidth="1"/>
    <col min="3849" max="4095" width="9.140625" style="5"/>
    <col min="4096" max="4096" width="36.85546875" style="5" bestFit="1" customWidth="1"/>
    <col min="4097" max="4097" width="9.140625" style="5"/>
    <col min="4098" max="4098" width="61.42578125" style="5" bestFit="1" customWidth="1"/>
    <col min="4099" max="4099" width="23" style="5" customWidth="1"/>
    <col min="4100" max="4103" width="9.140625" style="5"/>
    <col min="4104" max="4104" width="0" style="5" hidden="1" customWidth="1"/>
    <col min="4105" max="4351" width="9.140625" style="5"/>
    <col min="4352" max="4352" width="36.85546875" style="5" bestFit="1" customWidth="1"/>
    <col min="4353" max="4353" width="9.140625" style="5"/>
    <col min="4354" max="4354" width="61.42578125" style="5" bestFit="1" customWidth="1"/>
    <col min="4355" max="4355" width="23" style="5" customWidth="1"/>
    <col min="4356" max="4359" width="9.140625" style="5"/>
    <col min="4360" max="4360" width="0" style="5" hidden="1" customWidth="1"/>
    <col min="4361" max="4607" width="9.140625" style="5"/>
    <col min="4608" max="4608" width="36.85546875" style="5" bestFit="1" customWidth="1"/>
    <col min="4609" max="4609" width="9.140625" style="5"/>
    <col min="4610" max="4610" width="61.42578125" style="5" bestFit="1" customWidth="1"/>
    <col min="4611" max="4611" width="23" style="5" customWidth="1"/>
    <col min="4612" max="4615" width="9.140625" style="5"/>
    <col min="4616" max="4616" width="0" style="5" hidden="1" customWidth="1"/>
    <col min="4617" max="4863" width="9.140625" style="5"/>
    <col min="4864" max="4864" width="36.85546875" style="5" bestFit="1" customWidth="1"/>
    <col min="4865" max="4865" width="9.140625" style="5"/>
    <col min="4866" max="4866" width="61.42578125" style="5" bestFit="1" customWidth="1"/>
    <col min="4867" max="4867" width="23" style="5" customWidth="1"/>
    <col min="4868" max="4871" width="9.140625" style="5"/>
    <col min="4872" max="4872" width="0" style="5" hidden="1" customWidth="1"/>
    <col min="4873" max="5119" width="9.140625" style="5"/>
    <col min="5120" max="5120" width="36.85546875" style="5" bestFit="1" customWidth="1"/>
    <col min="5121" max="5121" width="9.140625" style="5"/>
    <col min="5122" max="5122" width="61.42578125" style="5" bestFit="1" customWidth="1"/>
    <col min="5123" max="5123" width="23" style="5" customWidth="1"/>
    <col min="5124" max="5127" width="9.140625" style="5"/>
    <col min="5128" max="5128" width="0" style="5" hidden="1" customWidth="1"/>
    <col min="5129" max="5375" width="9.140625" style="5"/>
    <col min="5376" max="5376" width="36.85546875" style="5" bestFit="1" customWidth="1"/>
    <col min="5377" max="5377" width="9.140625" style="5"/>
    <col min="5378" max="5378" width="61.42578125" style="5" bestFit="1" customWidth="1"/>
    <col min="5379" max="5379" width="23" style="5" customWidth="1"/>
    <col min="5380" max="5383" width="9.140625" style="5"/>
    <col min="5384" max="5384" width="0" style="5" hidden="1" customWidth="1"/>
    <col min="5385" max="5631" width="9.140625" style="5"/>
    <col min="5632" max="5632" width="36.85546875" style="5" bestFit="1" customWidth="1"/>
    <col min="5633" max="5633" width="9.140625" style="5"/>
    <col min="5634" max="5634" width="61.42578125" style="5" bestFit="1" customWidth="1"/>
    <col min="5635" max="5635" width="23" style="5" customWidth="1"/>
    <col min="5636" max="5639" width="9.140625" style="5"/>
    <col min="5640" max="5640" width="0" style="5" hidden="1" customWidth="1"/>
    <col min="5641" max="5887" width="9.140625" style="5"/>
    <col min="5888" max="5888" width="36.85546875" style="5" bestFit="1" customWidth="1"/>
    <col min="5889" max="5889" width="9.140625" style="5"/>
    <col min="5890" max="5890" width="61.42578125" style="5" bestFit="1" customWidth="1"/>
    <col min="5891" max="5891" width="23" style="5" customWidth="1"/>
    <col min="5892" max="5895" width="9.140625" style="5"/>
    <col min="5896" max="5896" width="0" style="5" hidden="1" customWidth="1"/>
    <col min="5897" max="6143" width="9.140625" style="5"/>
    <col min="6144" max="6144" width="36.85546875" style="5" bestFit="1" customWidth="1"/>
    <col min="6145" max="6145" width="9.140625" style="5"/>
    <col min="6146" max="6146" width="61.42578125" style="5" bestFit="1" customWidth="1"/>
    <col min="6147" max="6147" width="23" style="5" customWidth="1"/>
    <col min="6148" max="6151" width="9.140625" style="5"/>
    <col min="6152" max="6152" width="0" style="5" hidden="1" customWidth="1"/>
    <col min="6153" max="6399" width="9.140625" style="5"/>
    <col min="6400" max="6400" width="36.85546875" style="5" bestFit="1" customWidth="1"/>
    <col min="6401" max="6401" width="9.140625" style="5"/>
    <col min="6402" max="6402" width="61.42578125" style="5" bestFit="1" customWidth="1"/>
    <col min="6403" max="6403" width="23" style="5" customWidth="1"/>
    <col min="6404" max="6407" width="9.140625" style="5"/>
    <col min="6408" max="6408" width="0" style="5" hidden="1" customWidth="1"/>
    <col min="6409" max="6655" width="9.140625" style="5"/>
    <col min="6656" max="6656" width="36.85546875" style="5" bestFit="1" customWidth="1"/>
    <col min="6657" max="6657" width="9.140625" style="5"/>
    <col min="6658" max="6658" width="61.42578125" style="5" bestFit="1" customWidth="1"/>
    <col min="6659" max="6659" width="23" style="5" customWidth="1"/>
    <col min="6660" max="6663" width="9.140625" style="5"/>
    <col min="6664" max="6664" width="0" style="5" hidden="1" customWidth="1"/>
    <col min="6665" max="6911" width="9.140625" style="5"/>
    <col min="6912" max="6912" width="36.85546875" style="5" bestFit="1" customWidth="1"/>
    <col min="6913" max="6913" width="9.140625" style="5"/>
    <col min="6914" max="6914" width="61.42578125" style="5" bestFit="1" customWidth="1"/>
    <col min="6915" max="6915" width="23" style="5" customWidth="1"/>
    <col min="6916" max="6919" width="9.140625" style="5"/>
    <col min="6920" max="6920" width="0" style="5" hidden="1" customWidth="1"/>
    <col min="6921" max="7167" width="9.140625" style="5"/>
    <col min="7168" max="7168" width="36.85546875" style="5" bestFit="1" customWidth="1"/>
    <col min="7169" max="7169" width="9.140625" style="5"/>
    <col min="7170" max="7170" width="61.42578125" style="5" bestFit="1" customWidth="1"/>
    <col min="7171" max="7171" width="23" style="5" customWidth="1"/>
    <col min="7172" max="7175" width="9.140625" style="5"/>
    <col min="7176" max="7176" width="0" style="5" hidden="1" customWidth="1"/>
    <col min="7177" max="7423" width="9.140625" style="5"/>
    <col min="7424" max="7424" width="36.85546875" style="5" bestFit="1" customWidth="1"/>
    <col min="7425" max="7425" width="9.140625" style="5"/>
    <col min="7426" max="7426" width="61.42578125" style="5" bestFit="1" customWidth="1"/>
    <col min="7427" max="7427" width="23" style="5" customWidth="1"/>
    <col min="7428" max="7431" width="9.140625" style="5"/>
    <col min="7432" max="7432" width="0" style="5" hidden="1" customWidth="1"/>
    <col min="7433" max="7679" width="9.140625" style="5"/>
    <col min="7680" max="7680" width="36.85546875" style="5" bestFit="1" customWidth="1"/>
    <col min="7681" max="7681" width="9.140625" style="5"/>
    <col min="7682" max="7682" width="61.42578125" style="5" bestFit="1" customWidth="1"/>
    <col min="7683" max="7683" width="23" style="5" customWidth="1"/>
    <col min="7684" max="7687" width="9.140625" style="5"/>
    <col min="7688" max="7688" width="0" style="5" hidden="1" customWidth="1"/>
    <col min="7689" max="7935" width="9.140625" style="5"/>
    <col min="7936" max="7936" width="36.85546875" style="5" bestFit="1" customWidth="1"/>
    <col min="7937" max="7937" width="9.140625" style="5"/>
    <col min="7938" max="7938" width="61.42578125" style="5" bestFit="1" customWidth="1"/>
    <col min="7939" max="7939" width="23" style="5" customWidth="1"/>
    <col min="7940" max="7943" width="9.140625" style="5"/>
    <col min="7944" max="7944" width="0" style="5" hidden="1" customWidth="1"/>
    <col min="7945" max="8191" width="9.140625" style="5"/>
    <col min="8192" max="8192" width="36.85546875" style="5" bestFit="1" customWidth="1"/>
    <col min="8193" max="8193" width="9.140625" style="5"/>
    <col min="8194" max="8194" width="61.42578125" style="5" bestFit="1" customWidth="1"/>
    <col min="8195" max="8195" width="23" style="5" customWidth="1"/>
    <col min="8196" max="8199" width="9.140625" style="5"/>
    <col min="8200" max="8200" width="0" style="5" hidden="1" customWidth="1"/>
    <col min="8201" max="8447" width="9.140625" style="5"/>
    <col min="8448" max="8448" width="36.85546875" style="5" bestFit="1" customWidth="1"/>
    <col min="8449" max="8449" width="9.140625" style="5"/>
    <col min="8450" max="8450" width="61.42578125" style="5" bestFit="1" customWidth="1"/>
    <col min="8451" max="8451" width="23" style="5" customWidth="1"/>
    <col min="8452" max="8455" width="9.140625" style="5"/>
    <col min="8456" max="8456" width="0" style="5" hidden="1" customWidth="1"/>
    <col min="8457" max="8703" width="9.140625" style="5"/>
    <col min="8704" max="8704" width="36.85546875" style="5" bestFit="1" customWidth="1"/>
    <col min="8705" max="8705" width="9.140625" style="5"/>
    <col min="8706" max="8706" width="61.42578125" style="5" bestFit="1" customWidth="1"/>
    <col min="8707" max="8707" width="23" style="5" customWidth="1"/>
    <col min="8708" max="8711" width="9.140625" style="5"/>
    <col min="8712" max="8712" width="0" style="5" hidden="1" customWidth="1"/>
    <col min="8713" max="8959" width="9.140625" style="5"/>
    <col min="8960" max="8960" width="36.85546875" style="5" bestFit="1" customWidth="1"/>
    <col min="8961" max="8961" width="9.140625" style="5"/>
    <col min="8962" max="8962" width="61.42578125" style="5" bestFit="1" customWidth="1"/>
    <col min="8963" max="8963" width="23" style="5" customWidth="1"/>
    <col min="8964" max="8967" width="9.140625" style="5"/>
    <col min="8968" max="8968" width="0" style="5" hidden="1" customWidth="1"/>
    <col min="8969" max="9215" width="9.140625" style="5"/>
    <col min="9216" max="9216" width="36.85546875" style="5" bestFit="1" customWidth="1"/>
    <col min="9217" max="9217" width="9.140625" style="5"/>
    <col min="9218" max="9218" width="61.42578125" style="5" bestFit="1" customWidth="1"/>
    <col min="9219" max="9219" width="23" style="5" customWidth="1"/>
    <col min="9220" max="9223" width="9.140625" style="5"/>
    <col min="9224" max="9224" width="0" style="5" hidden="1" customWidth="1"/>
    <col min="9225" max="9471" width="9.140625" style="5"/>
    <col min="9472" max="9472" width="36.85546875" style="5" bestFit="1" customWidth="1"/>
    <col min="9473" max="9473" width="9.140625" style="5"/>
    <col min="9474" max="9474" width="61.42578125" style="5" bestFit="1" customWidth="1"/>
    <col min="9475" max="9475" width="23" style="5" customWidth="1"/>
    <col min="9476" max="9479" width="9.140625" style="5"/>
    <col min="9480" max="9480" width="0" style="5" hidden="1" customWidth="1"/>
    <col min="9481" max="9727" width="9.140625" style="5"/>
    <col min="9728" max="9728" width="36.85546875" style="5" bestFit="1" customWidth="1"/>
    <col min="9729" max="9729" width="9.140625" style="5"/>
    <col min="9730" max="9730" width="61.42578125" style="5" bestFit="1" customWidth="1"/>
    <col min="9731" max="9731" width="23" style="5" customWidth="1"/>
    <col min="9732" max="9735" width="9.140625" style="5"/>
    <col min="9736" max="9736" width="0" style="5" hidden="1" customWidth="1"/>
    <col min="9737" max="9983" width="9.140625" style="5"/>
    <col min="9984" max="9984" width="36.85546875" style="5" bestFit="1" customWidth="1"/>
    <col min="9985" max="9985" width="9.140625" style="5"/>
    <col min="9986" max="9986" width="61.42578125" style="5" bestFit="1" customWidth="1"/>
    <col min="9987" max="9987" width="23" style="5" customWidth="1"/>
    <col min="9988" max="9991" width="9.140625" style="5"/>
    <col min="9992" max="9992" width="0" style="5" hidden="1" customWidth="1"/>
    <col min="9993" max="10239" width="9.140625" style="5"/>
    <col min="10240" max="10240" width="36.85546875" style="5" bestFit="1" customWidth="1"/>
    <col min="10241" max="10241" width="9.140625" style="5"/>
    <col min="10242" max="10242" width="61.42578125" style="5" bestFit="1" customWidth="1"/>
    <col min="10243" max="10243" width="23" style="5" customWidth="1"/>
    <col min="10244" max="10247" width="9.140625" style="5"/>
    <col min="10248" max="10248" width="0" style="5" hidden="1" customWidth="1"/>
    <col min="10249" max="10495" width="9.140625" style="5"/>
    <col min="10496" max="10496" width="36.85546875" style="5" bestFit="1" customWidth="1"/>
    <col min="10497" max="10497" width="9.140625" style="5"/>
    <col min="10498" max="10498" width="61.42578125" style="5" bestFit="1" customWidth="1"/>
    <col min="10499" max="10499" width="23" style="5" customWidth="1"/>
    <col min="10500" max="10503" width="9.140625" style="5"/>
    <col min="10504" max="10504" width="0" style="5" hidden="1" customWidth="1"/>
    <col min="10505" max="10751" width="9.140625" style="5"/>
    <col min="10752" max="10752" width="36.85546875" style="5" bestFit="1" customWidth="1"/>
    <col min="10753" max="10753" width="9.140625" style="5"/>
    <col min="10754" max="10754" width="61.42578125" style="5" bestFit="1" customWidth="1"/>
    <col min="10755" max="10755" width="23" style="5" customWidth="1"/>
    <col min="10756" max="10759" width="9.140625" style="5"/>
    <col min="10760" max="10760" width="0" style="5" hidden="1" customWidth="1"/>
    <col min="10761" max="11007" width="9.140625" style="5"/>
    <col min="11008" max="11008" width="36.85546875" style="5" bestFit="1" customWidth="1"/>
    <col min="11009" max="11009" width="9.140625" style="5"/>
    <col min="11010" max="11010" width="61.42578125" style="5" bestFit="1" customWidth="1"/>
    <col min="11011" max="11011" width="23" style="5" customWidth="1"/>
    <col min="11012" max="11015" width="9.140625" style="5"/>
    <col min="11016" max="11016" width="0" style="5" hidden="1" customWidth="1"/>
    <col min="11017" max="11263" width="9.140625" style="5"/>
    <col min="11264" max="11264" width="36.85546875" style="5" bestFit="1" customWidth="1"/>
    <col min="11265" max="11265" width="9.140625" style="5"/>
    <col min="11266" max="11266" width="61.42578125" style="5" bestFit="1" customWidth="1"/>
    <col min="11267" max="11267" width="23" style="5" customWidth="1"/>
    <col min="11268" max="11271" width="9.140625" style="5"/>
    <col min="11272" max="11272" width="0" style="5" hidden="1" customWidth="1"/>
    <col min="11273" max="11519" width="9.140625" style="5"/>
    <col min="11520" max="11520" width="36.85546875" style="5" bestFit="1" customWidth="1"/>
    <col min="11521" max="11521" width="9.140625" style="5"/>
    <col min="11522" max="11522" width="61.42578125" style="5" bestFit="1" customWidth="1"/>
    <col min="11523" max="11523" width="23" style="5" customWidth="1"/>
    <col min="11524" max="11527" width="9.140625" style="5"/>
    <col min="11528" max="11528" width="0" style="5" hidden="1" customWidth="1"/>
    <col min="11529" max="11775" width="9.140625" style="5"/>
    <col min="11776" max="11776" width="36.85546875" style="5" bestFit="1" customWidth="1"/>
    <col min="11777" max="11777" width="9.140625" style="5"/>
    <col min="11778" max="11778" width="61.42578125" style="5" bestFit="1" customWidth="1"/>
    <col min="11779" max="11779" width="23" style="5" customWidth="1"/>
    <col min="11780" max="11783" width="9.140625" style="5"/>
    <col min="11784" max="11784" width="0" style="5" hidden="1" customWidth="1"/>
    <col min="11785" max="12031" width="9.140625" style="5"/>
    <col min="12032" max="12032" width="36.85546875" style="5" bestFit="1" customWidth="1"/>
    <col min="12033" max="12033" width="9.140625" style="5"/>
    <col min="12034" max="12034" width="61.42578125" style="5" bestFit="1" customWidth="1"/>
    <col min="12035" max="12035" width="23" style="5" customWidth="1"/>
    <col min="12036" max="12039" width="9.140625" style="5"/>
    <col min="12040" max="12040" width="0" style="5" hidden="1" customWidth="1"/>
    <col min="12041" max="12287" width="9.140625" style="5"/>
    <col min="12288" max="12288" width="36.85546875" style="5" bestFit="1" customWidth="1"/>
    <col min="12289" max="12289" width="9.140625" style="5"/>
    <col min="12290" max="12290" width="61.42578125" style="5" bestFit="1" customWidth="1"/>
    <col min="12291" max="12291" width="23" style="5" customWidth="1"/>
    <col min="12292" max="12295" width="9.140625" style="5"/>
    <col min="12296" max="12296" width="0" style="5" hidden="1" customWidth="1"/>
    <col min="12297" max="12543" width="9.140625" style="5"/>
    <col min="12544" max="12544" width="36.85546875" style="5" bestFit="1" customWidth="1"/>
    <col min="12545" max="12545" width="9.140625" style="5"/>
    <col min="12546" max="12546" width="61.42578125" style="5" bestFit="1" customWidth="1"/>
    <col min="12547" max="12547" width="23" style="5" customWidth="1"/>
    <col min="12548" max="12551" width="9.140625" style="5"/>
    <col min="12552" max="12552" width="0" style="5" hidden="1" customWidth="1"/>
    <col min="12553" max="12799" width="9.140625" style="5"/>
    <col min="12800" max="12800" width="36.85546875" style="5" bestFit="1" customWidth="1"/>
    <col min="12801" max="12801" width="9.140625" style="5"/>
    <col min="12802" max="12802" width="61.42578125" style="5" bestFit="1" customWidth="1"/>
    <col min="12803" max="12803" width="23" style="5" customWidth="1"/>
    <col min="12804" max="12807" width="9.140625" style="5"/>
    <col min="12808" max="12808" width="0" style="5" hidden="1" customWidth="1"/>
    <col min="12809" max="13055" width="9.140625" style="5"/>
    <col min="13056" max="13056" width="36.85546875" style="5" bestFit="1" customWidth="1"/>
    <col min="13057" max="13057" width="9.140625" style="5"/>
    <col min="13058" max="13058" width="61.42578125" style="5" bestFit="1" customWidth="1"/>
    <col min="13059" max="13059" width="23" style="5" customWidth="1"/>
    <col min="13060" max="13063" width="9.140625" style="5"/>
    <col min="13064" max="13064" width="0" style="5" hidden="1" customWidth="1"/>
    <col min="13065" max="13311" width="9.140625" style="5"/>
    <col min="13312" max="13312" width="36.85546875" style="5" bestFit="1" customWidth="1"/>
    <col min="13313" max="13313" width="9.140625" style="5"/>
    <col min="13314" max="13314" width="61.42578125" style="5" bestFit="1" customWidth="1"/>
    <col min="13315" max="13315" width="23" style="5" customWidth="1"/>
    <col min="13316" max="13319" width="9.140625" style="5"/>
    <col min="13320" max="13320" width="0" style="5" hidden="1" customWidth="1"/>
    <col min="13321" max="13567" width="9.140625" style="5"/>
    <col min="13568" max="13568" width="36.85546875" style="5" bestFit="1" customWidth="1"/>
    <col min="13569" max="13569" width="9.140625" style="5"/>
    <col min="13570" max="13570" width="61.42578125" style="5" bestFit="1" customWidth="1"/>
    <col min="13571" max="13571" width="23" style="5" customWidth="1"/>
    <col min="13572" max="13575" width="9.140625" style="5"/>
    <col min="13576" max="13576" width="0" style="5" hidden="1" customWidth="1"/>
    <col min="13577" max="13823" width="9.140625" style="5"/>
    <col min="13824" max="13824" width="36.85546875" style="5" bestFit="1" customWidth="1"/>
    <col min="13825" max="13825" width="9.140625" style="5"/>
    <col min="13826" max="13826" width="61.42578125" style="5" bestFit="1" customWidth="1"/>
    <col min="13827" max="13827" width="23" style="5" customWidth="1"/>
    <col min="13828" max="13831" width="9.140625" style="5"/>
    <col min="13832" max="13832" width="0" style="5" hidden="1" customWidth="1"/>
    <col min="13833" max="14079" width="9.140625" style="5"/>
    <col min="14080" max="14080" width="36.85546875" style="5" bestFit="1" customWidth="1"/>
    <col min="14081" max="14081" width="9.140625" style="5"/>
    <col min="14082" max="14082" width="61.42578125" style="5" bestFit="1" customWidth="1"/>
    <col min="14083" max="14083" width="23" style="5" customWidth="1"/>
    <col min="14084" max="14087" width="9.140625" style="5"/>
    <col min="14088" max="14088" width="0" style="5" hidden="1" customWidth="1"/>
    <col min="14089" max="14335" width="9.140625" style="5"/>
    <col min="14336" max="14336" width="36.85546875" style="5" bestFit="1" customWidth="1"/>
    <col min="14337" max="14337" width="9.140625" style="5"/>
    <col min="14338" max="14338" width="61.42578125" style="5" bestFit="1" customWidth="1"/>
    <col min="14339" max="14339" width="23" style="5" customWidth="1"/>
    <col min="14340" max="14343" width="9.140625" style="5"/>
    <col min="14344" max="14344" width="0" style="5" hidden="1" customWidth="1"/>
    <col min="14345" max="14591" width="9.140625" style="5"/>
    <col min="14592" max="14592" width="36.85546875" style="5" bestFit="1" customWidth="1"/>
    <col min="14593" max="14593" width="9.140625" style="5"/>
    <col min="14594" max="14594" width="61.42578125" style="5" bestFit="1" customWidth="1"/>
    <col min="14595" max="14595" width="23" style="5" customWidth="1"/>
    <col min="14596" max="14599" width="9.140625" style="5"/>
    <col min="14600" max="14600" width="0" style="5" hidden="1" customWidth="1"/>
    <col min="14601" max="14847" width="9.140625" style="5"/>
    <col min="14848" max="14848" width="36.85546875" style="5" bestFit="1" customWidth="1"/>
    <col min="14849" max="14849" width="9.140625" style="5"/>
    <col min="14850" max="14850" width="61.42578125" style="5" bestFit="1" customWidth="1"/>
    <col min="14851" max="14851" width="23" style="5" customWidth="1"/>
    <col min="14852" max="14855" width="9.140625" style="5"/>
    <col min="14856" max="14856" width="0" style="5" hidden="1" customWidth="1"/>
    <col min="14857" max="15103" width="9.140625" style="5"/>
    <col min="15104" max="15104" width="36.85546875" style="5" bestFit="1" customWidth="1"/>
    <col min="15105" max="15105" width="9.140625" style="5"/>
    <col min="15106" max="15106" width="61.42578125" style="5" bestFit="1" customWidth="1"/>
    <col min="15107" max="15107" width="23" style="5" customWidth="1"/>
    <col min="15108" max="15111" width="9.140625" style="5"/>
    <col min="15112" max="15112" width="0" style="5" hidden="1" customWidth="1"/>
    <col min="15113" max="15359" width="9.140625" style="5"/>
    <col min="15360" max="15360" width="36.85546875" style="5" bestFit="1" customWidth="1"/>
    <col min="15361" max="15361" width="9.140625" style="5"/>
    <col min="15362" max="15362" width="61.42578125" style="5" bestFit="1" customWidth="1"/>
    <col min="15363" max="15363" width="23" style="5" customWidth="1"/>
    <col min="15364" max="15367" width="9.140625" style="5"/>
    <col min="15368" max="15368" width="0" style="5" hidden="1" customWidth="1"/>
    <col min="15369" max="15615" width="9.140625" style="5"/>
    <col min="15616" max="15616" width="36.85546875" style="5" bestFit="1" customWidth="1"/>
    <col min="15617" max="15617" width="9.140625" style="5"/>
    <col min="15618" max="15618" width="61.42578125" style="5" bestFit="1" customWidth="1"/>
    <col min="15619" max="15619" width="23" style="5" customWidth="1"/>
    <col min="15620" max="15623" width="9.140625" style="5"/>
    <col min="15624" max="15624" width="0" style="5" hidden="1" customWidth="1"/>
    <col min="15625" max="15871" width="9.140625" style="5"/>
    <col min="15872" max="15872" width="36.85546875" style="5" bestFit="1" customWidth="1"/>
    <col min="15873" max="15873" width="9.140625" style="5"/>
    <col min="15874" max="15874" width="61.42578125" style="5" bestFit="1" customWidth="1"/>
    <col min="15875" max="15875" width="23" style="5" customWidth="1"/>
    <col min="15876" max="15879" width="9.140625" style="5"/>
    <col min="15880" max="15880" width="0" style="5" hidden="1" customWidth="1"/>
    <col min="15881" max="16127" width="9.140625" style="5"/>
    <col min="16128" max="16128" width="36.85546875" style="5" bestFit="1" customWidth="1"/>
    <col min="16129" max="16129" width="9.140625" style="5"/>
    <col min="16130" max="16130" width="61.42578125" style="5" bestFit="1" customWidth="1"/>
    <col min="16131" max="16131" width="23" style="5" customWidth="1"/>
    <col min="16132" max="16135" width="9.140625" style="5"/>
    <col min="16136" max="16136" width="0" style="5" hidden="1" customWidth="1"/>
    <col min="16137" max="16384" width="9.140625" style="5"/>
  </cols>
  <sheetData>
    <row r="1" spans="1:8" ht="21" thickBot="1" x14ac:dyDescent="0.3">
      <c r="A1" s="1042" t="s">
        <v>1859</v>
      </c>
      <c r="B1" s="1042"/>
      <c r="C1" s="1042"/>
      <c r="D1" s="1042"/>
      <c r="E1" s="1042"/>
    </row>
    <row r="2" spans="1:8" ht="17.25" customHeight="1" x14ac:dyDescent="0.25">
      <c r="A2" s="259" t="s">
        <v>1</v>
      </c>
      <c r="B2" s="261" t="s">
        <v>1632</v>
      </c>
      <c r="C2" s="1052" t="s">
        <v>6</v>
      </c>
      <c r="D2" s="1052" t="s">
        <v>7</v>
      </c>
      <c r="E2" s="262" t="s">
        <v>1633</v>
      </c>
    </row>
    <row r="3" spans="1:8" ht="38.25" x14ac:dyDescent="0.25">
      <c r="A3" s="600" t="s">
        <v>1867</v>
      </c>
      <c r="B3" s="1054" t="s">
        <v>2337</v>
      </c>
      <c r="C3" s="600" t="str">
        <f>IF(covenant1="Invictus","Local","Unavailable")</f>
        <v>Unavailable</v>
      </c>
      <c r="D3" s="600" t="s">
        <v>1074</v>
      </c>
      <c r="E3" s="600">
        <v>179</v>
      </c>
      <c r="H3" s="5" t="s">
        <v>1828</v>
      </c>
    </row>
    <row r="4" spans="1:8" ht="38.25" x14ac:dyDescent="0.25">
      <c r="A4" s="600" t="s">
        <v>1871</v>
      </c>
      <c r="B4" s="1054" t="s">
        <v>2341</v>
      </c>
      <c r="C4" s="600" t="str">
        <f>IF(covenant1="Invictus","Local","Unavailable")</f>
        <v>Unavailable</v>
      </c>
      <c r="D4" s="600" t="s">
        <v>1074</v>
      </c>
      <c r="E4" s="600">
        <v>184</v>
      </c>
      <c r="H4" s="5" t="s">
        <v>1830</v>
      </c>
    </row>
    <row r="5" spans="1:8" ht="38.25" x14ac:dyDescent="0.25">
      <c r="A5" s="600" t="s">
        <v>1874</v>
      </c>
      <c r="B5" s="1054" t="s">
        <v>2340</v>
      </c>
      <c r="C5" s="600" t="str">
        <f>IF(covenant1="Invictus","Local","Unavailable")</f>
        <v>Unavailable</v>
      </c>
      <c r="D5" s="600" t="s">
        <v>1074</v>
      </c>
      <c r="E5" s="600">
        <v>183</v>
      </c>
      <c r="H5" s="5" t="s">
        <v>1832</v>
      </c>
    </row>
    <row r="6" spans="1:8" ht="25.5" x14ac:dyDescent="0.25">
      <c r="A6" s="600" t="s">
        <v>1876</v>
      </c>
      <c r="B6" s="1054" t="s">
        <v>2335</v>
      </c>
      <c r="C6" s="600" t="str">
        <f>IF(covenant1="Invictus","Local","Unavailable")</f>
        <v>Unavailable</v>
      </c>
      <c r="D6" s="600" t="s">
        <v>1074</v>
      </c>
      <c r="E6" s="600">
        <v>180</v>
      </c>
      <c r="H6" s="5" t="s">
        <v>1835</v>
      </c>
    </row>
    <row r="7" spans="1:8" ht="38.25" x14ac:dyDescent="0.25">
      <c r="A7" s="600" t="s">
        <v>1878</v>
      </c>
      <c r="B7" s="1054" t="s">
        <v>2343</v>
      </c>
      <c r="C7" s="600" t="str">
        <f>IF(covenant1="Invictus","Local","Unavailable")</f>
        <v>Unavailable</v>
      </c>
      <c r="D7" s="600" t="s">
        <v>1074</v>
      </c>
      <c r="E7" s="600">
        <v>186</v>
      </c>
      <c r="H7" s="5" t="s">
        <v>1837</v>
      </c>
    </row>
    <row r="8" spans="1:8" ht="25.5" x14ac:dyDescent="0.25">
      <c r="A8" s="600" t="s">
        <v>1881</v>
      </c>
      <c r="B8" s="1054" t="s">
        <v>2342</v>
      </c>
      <c r="C8" s="600" t="str">
        <f>IF(covenant1="Invictus","Local","Unavailable")</f>
        <v>Unavailable</v>
      </c>
      <c r="D8" s="600" t="s">
        <v>1074</v>
      </c>
      <c r="E8" s="600">
        <v>185</v>
      </c>
      <c r="H8" s="5" t="s">
        <v>1839</v>
      </c>
    </row>
    <row r="9" spans="1:8" ht="25.5" x14ac:dyDescent="0.25">
      <c r="A9" s="600" t="s">
        <v>1887</v>
      </c>
      <c r="B9" s="1054" t="s">
        <v>2336</v>
      </c>
      <c r="C9" s="600" t="str">
        <f>IF(covenant1="Invictus","Local","Unavailable")</f>
        <v>Unavailable</v>
      </c>
      <c r="D9" s="600" t="s">
        <v>1074</v>
      </c>
      <c r="E9" s="600">
        <v>180</v>
      </c>
    </row>
    <row r="10" spans="1:8" ht="25.5" x14ac:dyDescent="0.25">
      <c r="A10" s="600" t="s">
        <v>1884</v>
      </c>
      <c r="B10" s="1054" t="s">
        <v>2338</v>
      </c>
      <c r="C10" s="600" t="str">
        <f>IF(covenant1="Invictus","Local","Unavailable")</f>
        <v>Unavailable</v>
      </c>
      <c r="D10" s="600" t="s">
        <v>1074</v>
      </c>
      <c r="E10" s="600">
        <v>182</v>
      </c>
    </row>
    <row r="11" spans="1:8" ht="25.5" x14ac:dyDescent="0.25">
      <c r="A11" s="600" t="s">
        <v>1885</v>
      </c>
      <c r="B11" s="1054" t="s">
        <v>2345</v>
      </c>
      <c r="C11" s="600" t="str">
        <f>IF(bloodline="Taifa","Local",IF(covenant1="Invictus","Genre","Unavailable"))</f>
        <v>Unavailable</v>
      </c>
      <c r="D11" s="600" t="s">
        <v>2331</v>
      </c>
      <c r="E11" s="600">
        <v>210</v>
      </c>
    </row>
    <row r="12" spans="1:8" ht="25.5" x14ac:dyDescent="0.25">
      <c r="A12" s="600" t="s">
        <v>1886</v>
      </c>
      <c r="B12" s="1055" t="s">
        <v>2339</v>
      </c>
      <c r="C12" s="600" t="str">
        <f>IF(covenant1="Invictus","Local","Unavailable")</f>
        <v>Unavailable</v>
      </c>
      <c r="D12" s="600" t="s">
        <v>1074</v>
      </c>
      <c r="E12" s="600">
        <v>182</v>
      </c>
    </row>
    <row r="13" spans="1:8" ht="25.5" x14ac:dyDescent="0.25">
      <c r="A13" s="600" t="s">
        <v>2223</v>
      </c>
      <c r="B13" s="1054" t="s">
        <v>2344</v>
      </c>
      <c r="C13" s="600" t="str">
        <f>IF(covenant1="Invictus","Local","Unavailable")</f>
        <v>Unavailable</v>
      </c>
      <c r="D13" s="600" t="s">
        <v>1074</v>
      </c>
      <c r="E13" s="600">
        <v>180</v>
      </c>
    </row>
    <row r="14" spans="1:8" ht="38.25" x14ac:dyDescent="0.25">
      <c r="A14" s="600" t="s">
        <v>2346</v>
      </c>
      <c r="B14" s="1054" t="s">
        <v>2347</v>
      </c>
      <c r="C14" s="600" t="str">
        <f>IF(bloodline="Taifa","Local",IF(covenant1="Invictus","Genre","Unavailable"))</f>
        <v>Unavailable</v>
      </c>
      <c r="D14" s="600" t="s">
        <v>2331</v>
      </c>
      <c r="E14" s="600">
        <v>175</v>
      </c>
    </row>
    <row r="15" spans="1:8" ht="16.5" customHeight="1" x14ac:dyDescent="0.25"/>
    <row r="16" spans="1:8"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sheetData>
  <sheetProtection password="8719" sheet="1" objects="1" scenarios="1" formatCells="0" formatColumns="0" formatRows="0" insertColumns="0" insertRows="0"/>
  <mergeCells count="1">
    <mergeCell ref="A1:E1"/>
  </mergeCell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tabSelected="1" zoomScale="90" zoomScaleNormal="90" workbookViewId="0">
      <selection activeCell="A7" sqref="A7"/>
    </sheetView>
  </sheetViews>
  <sheetFormatPr defaultRowHeight="15" x14ac:dyDescent="0.25"/>
  <cols>
    <col min="1" max="1" width="87.28515625" style="378" customWidth="1"/>
    <col min="2" max="256" width="9.140625" style="378"/>
    <col min="257" max="257" width="87.28515625" style="378" customWidth="1"/>
    <col min="258" max="512" width="9.140625" style="378"/>
    <col min="513" max="513" width="87.28515625" style="378" customWidth="1"/>
    <col min="514" max="768" width="9.140625" style="378"/>
    <col min="769" max="769" width="87.28515625" style="378" customWidth="1"/>
    <col min="770" max="1024" width="9.140625" style="378"/>
    <col min="1025" max="1025" width="87.28515625" style="378" customWidth="1"/>
    <col min="1026" max="1280" width="9.140625" style="378"/>
    <col min="1281" max="1281" width="87.28515625" style="378" customWidth="1"/>
    <col min="1282" max="1536" width="9.140625" style="378"/>
    <col min="1537" max="1537" width="87.28515625" style="378" customWidth="1"/>
    <col min="1538" max="1792" width="9.140625" style="378"/>
    <col min="1793" max="1793" width="87.28515625" style="378" customWidth="1"/>
    <col min="1794" max="2048" width="9.140625" style="378"/>
    <col min="2049" max="2049" width="87.28515625" style="378" customWidth="1"/>
    <col min="2050" max="2304" width="9.140625" style="378"/>
    <col min="2305" max="2305" width="87.28515625" style="378" customWidth="1"/>
    <col min="2306" max="2560" width="9.140625" style="378"/>
    <col min="2561" max="2561" width="87.28515625" style="378" customWidth="1"/>
    <col min="2562" max="2816" width="9.140625" style="378"/>
    <col min="2817" max="2817" width="87.28515625" style="378" customWidth="1"/>
    <col min="2818" max="3072" width="9.140625" style="378"/>
    <col min="3073" max="3073" width="87.28515625" style="378" customWidth="1"/>
    <col min="3074" max="3328" width="9.140625" style="378"/>
    <col min="3329" max="3329" width="87.28515625" style="378" customWidth="1"/>
    <col min="3330" max="3584" width="9.140625" style="378"/>
    <col min="3585" max="3585" width="87.28515625" style="378" customWidth="1"/>
    <col min="3586" max="3840" width="9.140625" style="378"/>
    <col min="3841" max="3841" width="87.28515625" style="378" customWidth="1"/>
    <col min="3842" max="4096" width="9.140625" style="378"/>
    <col min="4097" max="4097" width="87.28515625" style="378" customWidth="1"/>
    <col min="4098" max="4352" width="9.140625" style="378"/>
    <col min="4353" max="4353" width="87.28515625" style="378" customWidth="1"/>
    <col min="4354" max="4608" width="9.140625" style="378"/>
    <col min="4609" max="4609" width="87.28515625" style="378" customWidth="1"/>
    <col min="4610" max="4864" width="9.140625" style="378"/>
    <col min="4865" max="4865" width="87.28515625" style="378" customWidth="1"/>
    <col min="4866" max="5120" width="9.140625" style="378"/>
    <col min="5121" max="5121" width="87.28515625" style="378" customWidth="1"/>
    <col min="5122" max="5376" width="9.140625" style="378"/>
    <col min="5377" max="5377" width="87.28515625" style="378" customWidth="1"/>
    <col min="5378" max="5632" width="9.140625" style="378"/>
    <col min="5633" max="5633" width="87.28515625" style="378" customWidth="1"/>
    <col min="5634" max="5888" width="9.140625" style="378"/>
    <col min="5889" max="5889" width="87.28515625" style="378" customWidth="1"/>
    <col min="5890" max="6144" width="9.140625" style="378"/>
    <col min="6145" max="6145" width="87.28515625" style="378" customWidth="1"/>
    <col min="6146" max="6400" width="9.140625" style="378"/>
    <col min="6401" max="6401" width="87.28515625" style="378" customWidth="1"/>
    <col min="6402" max="6656" width="9.140625" style="378"/>
    <col min="6657" max="6657" width="87.28515625" style="378" customWidth="1"/>
    <col min="6658" max="6912" width="9.140625" style="378"/>
    <col min="6913" max="6913" width="87.28515625" style="378" customWidth="1"/>
    <col min="6914" max="7168" width="9.140625" style="378"/>
    <col min="7169" max="7169" width="87.28515625" style="378" customWidth="1"/>
    <col min="7170" max="7424" width="9.140625" style="378"/>
    <col min="7425" max="7425" width="87.28515625" style="378" customWidth="1"/>
    <col min="7426" max="7680" width="9.140625" style="378"/>
    <col min="7681" max="7681" width="87.28515625" style="378" customWidth="1"/>
    <col min="7682" max="7936" width="9.140625" style="378"/>
    <col min="7937" max="7937" width="87.28515625" style="378" customWidth="1"/>
    <col min="7938" max="8192" width="9.140625" style="378"/>
    <col min="8193" max="8193" width="87.28515625" style="378" customWidth="1"/>
    <col min="8194" max="8448" width="9.140625" style="378"/>
    <col min="8449" max="8449" width="87.28515625" style="378" customWidth="1"/>
    <col min="8450" max="8704" width="9.140625" style="378"/>
    <col min="8705" max="8705" width="87.28515625" style="378" customWidth="1"/>
    <col min="8706" max="8960" width="9.140625" style="378"/>
    <col min="8961" max="8961" width="87.28515625" style="378" customWidth="1"/>
    <col min="8962" max="9216" width="9.140625" style="378"/>
    <col min="9217" max="9217" width="87.28515625" style="378" customWidth="1"/>
    <col min="9218" max="9472" width="9.140625" style="378"/>
    <col min="9473" max="9473" width="87.28515625" style="378" customWidth="1"/>
    <col min="9474" max="9728" width="9.140625" style="378"/>
    <col min="9729" max="9729" width="87.28515625" style="378" customWidth="1"/>
    <col min="9730" max="9984" width="9.140625" style="378"/>
    <col min="9985" max="9985" width="87.28515625" style="378" customWidth="1"/>
    <col min="9986" max="10240" width="9.140625" style="378"/>
    <col min="10241" max="10241" width="87.28515625" style="378" customWidth="1"/>
    <col min="10242" max="10496" width="9.140625" style="378"/>
    <col min="10497" max="10497" width="87.28515625" style="378" customWidth="1"/>
    <col min="10498" max="10752" width="9.140625" style="378"/>
    <col min="10753" max="10753" width="87.28515625" style="378" customWidth="1"/>
    <col min="10754" max="11008" width="9.140625" style="378"/>
    <col min="11009" max="11009" width="87.28515625" style="378" customWidth="1"/>
    <col min="11010" max="11264" width="9.140625" style="378"/>
    <col min="11265" max="11265" width="87.28515625" style="378" customWidth="1"/>
    <col min="11266" max="11520" width="9.140625" style="378"/>
    <col min="11521" max="11521" width="87.28515625" style="378" customWidth="1"/>
    <col min="11522" max="11776" width="9.140625" style="378"/>
    <col min="11777" max="11777" width="87.28515625" style="378" customWidth="1"/>
    <col min="11778" max="12032" width="9.140625" style="378"/>
    <col min="12033" max="12033" width="87.28515625" style="378" customWidth="1"/>
    <col min="12034" max="12288" width="9.140625" style="378"/>
    <col min="12289" max="12289" width="87.28515625" style="378" customWidth="1"/>
    <col min="12290" max="12544" width="9.140625" style="378"/>
    <col min="12545" max="12545" width="87.28515625" style="378" customWidth="1"/>
    <col min="12546" max="12800" width="9.140625" style="378"/>
    <col min="12801" max="12801" width="87.28515625" style="378" customWidth="1"/>
    <col min="12802" max="13056" width="9.140625" style="378"/>
    <col min="13057" max="13057" width="87.28515625" style="378" customWidth="1"/>
    <col min="13058" max="13312" width="9.140625" style="378"/>
    <col min="13313" max="13313" width="87.28515625" style="378" customWidth="1"/>
    <col min="13314" max="13568" width="9.140625" style="378"/>
    <col min="13569" max="13569" width="87.28515625" style="378" customWidth="1"/>
    <col min="13570" max="13824" width="9.140625" style="378"/>
    <col min="13825" max="13825" width="87.28515625" style="378" customWidth="1"/>
    <col min="13826" max="14080" width="9.140625" style="378"/>
    <col min="14081" max="14081" width="87.28515625" style="378" customWidth="1"/>
    <col min="14082" max="14336" width="9.140625" style="378"/>
    <col min="14337" max="14337" width="87.28515625" style="378" customWidth="1"/>
    <col min="14338" max="14592" width="9.140625" style="378"/>
    <col min="14593" max="14593" width="87.28515625" style="378" customWidth="1"/>
    <col min="14594" max="14848" width="9.140625" style="378"/>
    <col min="14849" max="14849" width="87.28515625" style="378" customWidth="1"/>
    <col min="14850" max="15104" width="9.140625" style="378"/>
    <col min="15105" max="15105" width="87.28515625" style="378" customWidth="1"/>
    <col min="15106" max="15360" width="9.140625" style="378"/>
    <col min="15361" max="15361" width="87.28515625" style="378" customWidth="1"/>
    <col min="15362" max="15616" width="9.140625" style="378"/>
    <col min="15617" max="15617" width="87.28515625" style="378" customWidth="1"/>
    <col min="15618" max="15872" width="9.140625" style="378"/>
    <col min="15873" max="15873" width="87.28515625" style="378" customWidth="1"/>
    <col min="15874" max="16128" width="9.140625" style="378"/>
    <col min="16129" max="16129" width="87.28515625" style="378" customWidth="1"/>
    <col min="16130" max="16384" width="9.140625" style="378"/>
  </cols>
  <sheetData>
    <row r="1" spans="1:3" ht="30.75" customHeight="1" x14ac:dyDescent="0.25">
      <c r="A1" s="602" t="s">
        <v>2088</v>
      </c>
    </row>
    <row r="2" spans="1:3" ht="27.75" customHeight="1" x14ac:dyDescent="0.25">
      <c r="A2" s="603"/>
      <c r="B2" s="379"/>
      <c r="C2" s="379"/>
    </row>
    <row r="3" spans="1:3" ht="34.5" customHeight="1" x14ac:dyDescent="0.25">
      <c r="A3" s="380" t="s">
        <v>2222</v>
      </c>
    </row>
    <row r="4" spans="1:3" ht="28.5" x14ac:dyDescent="0.25">
      <c r="A4" s="381" t="s">
        <v>2104</v>
      </c>
    </row>
    <row r="5" spans="1:3" x14ac:dyDescent="0.25">
      <c r="A5" s="381"/>
    </row>
    <row r="6" spans="1:3" ht="29.25" x14ac:dyDescent="0.25">
      <c r="A6" s="381" t="s">
        <v>2348</v>
      </c>
    </row>
    <row r="7" spans="1:3" x14ac:dyDescent="0.25">
      <c r="A7" s="381"/>
    </row>
    <row r="8" spans="1:3" ht="28.5" x14ac:dyDescent="0.25">
      <c r="A8" s="381" t="s">
        <v>2089</v>
      </c>
    </row>
    <row r="9" spans="1:3" x14ac:dyDescent="0.25">
      <c r="A9" s="381"/>
    </row>
    <row r="10" spans="1:3" ht="29.25" x14ac:dyDescent="0.25">
      <c r="A10" s="381" t="s">
        <v>2090</v>
      </c>
    </row>
    <row r="11" spans="1:3" x14ac:dyDescent="0.25">
      <c r="A11" s="382"/>
    </row>
    <row r="12" spans="1:3" x14ac:dyDescent="0.25">
      <c r="A12" s="604" t="s">
        <v>2091</v>
      </c>
    </row>
    <row r="13" spans="1:3" ht="30.75" customHeight="1" x14ac:dyDescent="0.25">
      <c r="A13" s="604"/>
    </row>
    <row r="14" spans="1:3" x14ac:dyDescent="0.25">
      <c r="A14" s="383"/>
    </row>
    <row r="15" spans="1:3" ht="25.5" x14ac:dyDescent="0.25">
      <c r="A15" s="384" t="s">
        <v>2092</v>
      </c>
    </row>
    <row r="16" spans="1:3" x14ac:dyDescent="0.25">
      <c r="A16" s="384"/>
    </row>
    <row r="17" spans="1:1" ht="25.5" x14ac:dyDescent="0.25">
      <c r="A17" s="384" t="s">
        <v>2093</v>
      </c>
    </row>
    <row r="18" spans="1:1" x14ac:dyDescent="0.25">
      <c r="A18" s="383"/>
    </row>
    <row r="19" spans="1:1" x14ac:dyDescent="0.25">
      <c r="A19" s="382" t="s">
        <v>2094</v>
      </c>
    </row>
    <row r="20" spans="1:1" x14ac:dyDescent="0.25">
      <c r="A20" s="382"/>
    </row>
    <row r="21" spans="1:1" x14ac:dyDescent="0.25">
      <c r="A21" s="382" t="s">
        <v>2095</v>
      </c>
    </row>
    <row r="22" spans="1:1" x14ac:dyDescent="0.25">
      <c r="A22" s="382"/>
    </row>
    <row r="23" spans="1:1" x14ac:dyDescent="0.25">
      <c r="A23" s="605" t="s">
        <v>2096</v>
      </c>
    </row>
    <row r="24" spans="1:1" x14ac:dyDescent="0.25">
      <c r="A24" s="605"/>
    </row>
    <row r="25" spans="1:1" x14ac:dyDescent="0.25">
      <c r="A25" s="385"/>
    </row>
    <row r="26" spans="1:1" ht="28.5" x14ac:dyDescent="0.25">
      <c r="A26" s="385" t="s">
        <v>2097</v>
      </c>
    </row>
    <row r="27" spans="1:1" x14ac:dyDescent="0.25">
      <c r="A27" s="385"/>
    </row>
    <row r="28" spans="1:1" x14ac:dyDescent="0.25">
      <c r="A28" s="605" t="s">
        <v>2098</v>
      </c>
    </row>
    <row r="29" spans="1:1" x14ac:dyDescent="0.25">
      <c r="A29" s="605"/>
    </row>
    <row r="30" spans="1:1" x14ac:dyDescent="0.25">
      <c r="A30" s="385"/>
    </row>
    <row r="31" spans="1:1" ht="28.5" x14ac:dyDescent="0.25">
      <c r="A31" s="381" t="s">
        <v>2099</v>
      </c>
    </row>
    <row r="32" spans="1:1" ht="28.5" x14ac:dyDescent="0.25">
      <c r="A32" s="381" t="s">
        <v>2100</v>
      </c>
    </row>
    <row r="33" spans="1:27" x14ac:dyDescent="0.25">
      <c r="A33" s="382"/>
    </row>
    <row r="34" spans="1:27" ht="28.5" x14ac:dyDescent="0.25">
      <c r="A34" s="381" t="s">
        <v>2101</v>
      </c>
    </row>
    <row r="35" spans="1:27" x14ac:dyDescent="0.25">
      <c r="A35" s="381"/>
    </row>
    <row r="36" spans="1:27" ht="28.5" x14ac:dyDescent="0.25">
      <c r="A36" s="381" t="s">
        <v>2102</v>
      </c>
    </row>
    <row r="37" spans="1:27" x14ac:dyDescent="0.25">
      <c r="A37" s="382"/>
    </row>
    <row r="38" spans="1:27" ht="43.5" x14ac:dyDescent="0.25">
      <c r="A38" s="381" t="s">
        <v>2103</v>
      </c>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row>
    <row r="39" spans="1:27" x14ac:dyDescent="0.25">
      <c r="A39" s="382"/>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row>
    <row r="40" spans="1:27" s="388" customFormat="1" ht="14.25" x14ac:dyDescent="0.2">
      <c r="A40" s="387"/>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row>
    <row r="41" spans="1:27" s="388" customFormat="1" ht="15" customHeight="1" x14ac:dyDescent="0.6">
      <c r="A41" s="390"/>
      <c r="C41" s="389"/>
    </row>
    <row r="42" spans="1:27" s="388" customFormat="1" ht="15" customHeight="1" x14ac:dyDescent="0.25">
      <c r="A42" s="391"/>
      <c r="C42" s="389"/>
    </row>
    <row r="43" spans="1:27" s="388" customFormat="1" ht="14.25" customHeight="1" x14ac:dyDescent="0.5">
      <c r="A43" s="392"/>
      <c r="C43" s="389"/>
    </row>
    <row r="44" spans="1:27" s="388" customFormat="1" ht="14.25" customHeight="1" x14ac:dyDescent="0.25">
      <c r="A44" s="393"/>
      <c r="C44" s="389"/>
    </row>
    <row r="45" spans="1:27" s="388" customFormat="1" x14ac:dyDescent="0.25">
      <c r="A45" s="393"/>
      <c r="C45" s="389"/>
    </row>
    <row r="46" spans="1:27" s="388" customFormat="1" x14ac:dyDescent="0.25">
      <c r="A46" s="393"/>
      <c r="C46" s="389"/>
    </row>
    <row r="47" spans="1:27" s="388" customFormat="1" ht="12" customHeight="1" x14ac:dyDescent="0.25">
      <c r="A47" s="393"/>
      <c r="C47" s="389"/>
    </row>
    <row r="48" spans="1:27" s="388" customFormat="1" ht="15" customHeight="1" x14ac:dyDescent="0.25">
      <c r="A48" s="393"/>
      <c r="C48" s="389"/>
    </row>
    <row r="49" spans="1:3" s="388" customFormat="1" ht="12" customHeight="1" x14ac:dyDescent="0.25">
      <c r="A49" s="393"/>
      <c r="C49" s="389"/>
    </row>
    <row r="50" spans="1:3" s="388" customFormat="1" ht="15" customHeight="1" x14ac:dyDescent="0.25">
      <c r="A50" s="393"/>
    </row>
    <row r="51" spans="1:3" s="388" customFormat="1" ht="12" customHeight="1" x14ac:dyDescent="0.25">
      <c r="A51" s="393"/>
    </row>
    <row r="52" spans="1:3" s="388" customFormat="1" ht="15.75" customHeight="1" x14ac:dyDescent="0.25">
      <c r="A52" s="393"/>
    </row>
    <row r="53" spans="1:3" s="388" customFormat="1" ht="15" customHeight="1" x14ac:dyDescent="0.2">
      <c r="A53" s="394"/>
    </row>
    <row r="54" spans="1:3" s="388" customFormat="1" ht="15" customHeight="1" x14ac:dyDescent="0.2">
      <c r="A54" s="395"/>
    </row>
    <row r="55" spans="1:3" s="388" customFormat="1" ht="14.25" x14ac:dyDescent="0.2">
      <c r="A55" s="395"/>
    </row>
    <row r="56" spans="1:3" s="388" customFormat="1" ht="15" customHeight="1" x14ac:dyDescent="0.5">
      <c r="A56" s="392"/>
    </row>
    <row r="57" spans="1:3" s="388" customFormat="1" ht="15" customHeight="1" x14ac:dyDescent="0.25">
      <c r="A57" s="393"/>
    </row>
    <row r="58" spans="1:3" s="388" customFormat="1" ht="15" customHeight="1" x14ac:dyDescent="0.25">
      <c r="A58" s="393"/>
    </row>
    <row r="59" spans="1:3" s="388" customFormat="1" ht="12" customHeight="1" x14ac:dyDescent="0.25">
      <c r="A59" s="393"/>
    </row>
    <row r="60" spans="1:3" s="388" customFormat="1" x14ac:dyDescent="0.25">
      <c r="A60" s="393"/>
    </row>
    <row r="61" spans="1:3" s="388" customFormat="1" x14ac:dyDescent="0.25">
      <c r="A61" s="393"/>
    </row>
    <row r="62" spans="1:3" s="388" customFormat="1" ht="15" customHeight="1" x14ac:dyDescent="0.5">
      <c r="A62" s="392"/>
    </row>
    <row r="63" spans="1:3" s="388" customFormat="1" ht="14.25" customHeight="1" x14ac:dyDescent="0.25">
      <c r="A63" s="393"/>
    </row>
    <row r="64" spans="1:3" s="388" customFormat="1" ht="15" customHeight="1" x14ac:dyDescent="0.25">
      <c r="A64" s="393"/>
    </row>
    <row r="65" spans="1:27" s="396" customFormat="1" x14ac:dyDescent="0.25">
      <c r="A65" s="393"/>
    </row>
    <row r="66" spans="1:27" x14ac:dyDescent="0.25">
      <c r="A66" s="386"/>
    </row>
    <row r="67" spans="1:27" ht="12.75" customHeight="1" x14ac:dyDescent="0.25">
      <c r="A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row>
    <row r="68" spans="1:27" ht="12.75" customHeight="1" x14ac:dyDescent="0.25">
      <c r="A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row>
    <row r="69" spans="1:27" x14ac:dyDescent="0.25">
      <c r="A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row>
    <row r="70" spans="1:27" x14ac:dyDescent="0.25">
      <c r="A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row>
    <row r="71" spans="1:27" x14ac:dyDescent="0.25">
      <c r="A71" s="386"/>
      <c r="C71" s="386"/>
      <c r="D71" s="386"/>
      <c r="E71" s="386"/>
      <c r="F71" s="386"/>
      <c r="G71" s="397"/>
      <c r="H71" s="386"/>
      <c r="I71" s="386"/>
      <c r="J71" s="386"/>
      <c r="K71" s="386"/>
      <c r="L71" s="386"/>
      <c r="M71" s="386"/>
      <c r="N71" s="386"/>
      <c r="O71" s="386"/>
      <c r="P71" s="386"/>
      <c r="Q71" s="386"/>
      <c r="R71" s="386"/>
      <c r="S71" s="386"/>
      <c r="T71" s="386"/>
      <c r="U71" s="386"/>
      <c r="V71" s="386"/>
      <c r="W71" s="386"/>
      <c r="X71" s="386"/>
      <c r="Y71" s="386"/>
      <c r="Z71" s="386"/>
      <c r="AA71" s="386"/>
    </row>
    <row r="72" spans="1:27" x14ac:dyDescent="0.25">
      <c r="A72" s="398"/>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row>
    <row r="73" spans="1:27" x14ac:dyDescent="0.25">
      <c r="A73" s="398"/>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row>
    <row r="74" spans="1:27" x14ac:dyDescent="0.25">
      <c r="A74" s="398"/>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row>
    <row r="75" spans="1:27" x14ac:dyDescent="0.25">
      <c r="A75" s="398"/>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row>
    <row r="76" spans="1:27" x14ac:dyDescent="0.25">
      <c r="A76" s="398"/>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row>
    <row r="77" spans="1:27" x14ac:dyDescent="0.25">
      <c r="A77" s="398"/>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row>
    <row r="78" spans="1:27" x14ac:dyDescent="0.25">
      <c r="A78" s="398"/>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row>
    <row r="79" spans="1:27" x14ac:dyDescent="0.25">
      <c r="A79" s="398"/>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row>
    <row r="80" spans="1:27" x14ac:dyDescent="0.25">
      <c r="A80" s="398"/>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row>
    <row r="81" spans="1:27" x14ac:dyDescent="0.25">
      <c r="A81" s="398"/>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row>
    <row r="82" spans="1:27" x14ac:dyDescent="0.25">
      <c r="A82" s="398"/>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row>
    <row r="83" spans="1:27" x14ac:dyDescent="0.25">
      <c r="A83" s="398"/>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row>
    <row r="84" spans="1:27" x14ac:dyDescent="0.25">
      <c r="A84" s="398"/>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row>
    <row r="85" spans="1:27" x14ac:dyDescent="0.25">
      <c r="A85" s="398"/>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row>
    <row r="86" spans="1:27" x14ac:dyDescent="0.25">
      <c r="C86" s="391"/>
      <c r="D86" s="391"/>
      <c r="E86" s="386"/>
      <c r="F86" s="386"/>
      <c r="G86" s="386"/>
      <c r="H86" s="386"/>
      <c r="I86" s="386"/>
      <c r="J86" s="386"/>
      <c r="K86" s="386"/>
      <c r="L86" s="386"/>
      <c r="M86" s="386"/>
      <c r="N86" s="386"/>
      <c r="O86" s="386"/>
      <c r="P86" s="386"/>
      <c r="Q86" s="386"/>
      <c r="R86" s="386"/>
      <c r="S86" s="386"/>
      <c r="T86" s="386"/>
      <c r="U86" s="386"/>
      <c r="V86" s="386"/>
      <c r="W86" s="386"/>
      <c r="X86" s="386"/>
      <c r="Y86" s="386"/>
      <c r="Z86" s="386"/>
      <c r="AA86" s="386"/>
    </row>
    <row r="87" spans="1:27" x14ac:dyDescent="0.25">
      <c r="C87" s="391"/>
      <c r="D87" s="391"/>
      <c r="E87" s="386"/>
      <c r="F87" s="386"/>
      <c r="G87" s="386"/>
      <c r="H87" s="386"/>
      <c r="I87" s="386"/>
      <c r="J87" s="386"/>
      <c r="K87" s="386"/>
      <c r="L87" s="386"/>
      <c r="M87" s="386"/>
      <c r="N87" s="386"/>
      <c r="O87" s="386"/>
      <c r="P87" s="386"/>
      <c r="Q87" s="386"/>
      <c r="R87" s="386"/>
      <c r="S87" s="386"/>
      <c r="T87" s="386"/>
      <c r="U87" s="386"/>
      <c r="V87" s="386"/>
      <c r="W87" s="386"/>
      <c r="X87" s="386"/>
      <c r="Y87" s="386"/>
      <c r="Z87" s="386"/>
      <c r="AA87" s="386"/>
    </row>
    <row r="88" spans="1:27" x14ac:dyDescent="0.25">
      <c r="C88" s="391"/>
      <c r="D88" s="391"/>
      <c r="E88" s="386"/>
      <c r="F88" s="386"/>
      <c r="G88" s="386"/>
      <c r="H88" s="386"/>
      <c r="I88" s="386"/>
      <c r="J88" s="386"/>
      <c r="K88" s="386"/>
      <c r="L88" s="386"/>
      <c r="M88" s="386"/>
      <c r="N88" s="386"/>
      <c r="O88" s="386"/>
      <c r="P88" s="386"/>
      <c r="Q88" s="386"/>
      <c r="R88" s="386"/>
      <c r="S88" s="386"/>
      <c r="T88" s="386"/>
      <c r="U88" s="386"/>
      <c r="V88" s="386"/>
      <c r="W88" s="386"/>
      <c r="X88" s="386"/>
      <c r="Y88" s="386"/>
      <c r="Z88" s="386"/>
      <c r="AA88" s="386"/>
    </row>
    <row r="89" spans="1:27" x14ac:dyDescent="0.25">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row>
    <row r="90" spans="1:27" x14ac:dyDescent="0.25">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row>
    <row r="91" spans="1:27" x14ac:dyDescent="0.25">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row>
  </sheetData>
  <sheetProtection password="8719" sheet="1" objects="1" scenarios="1" formatCells="0" formatRows="0" insertColumns="0" insertRows="0"/>
  <mergeCells count="4">
    <mergeCell ref="A1:A2"/>
    <mergeCell ref="A12:A13"/>
    <mergeCell ref="A23:A24"/>
    <mergeCell ref="A28:A29"/>
  </mergeCells>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U614"/>
  <sheetViews>
    <sheetView zoomScale="70" zoomScaleNormal="70" workbookViewId="0"/>
  </sheetViews>
  <sheetFormatPr defaultRowHeight="15" x14ac:dyDescent="0.25"/>
  <cols>
    <col min="1" max="1" width="4.7109375" style="533" customWidth="1"/>
    <col min="2" max="2" width="12.85546875" style="533" customWidth="1"/>
    <col min="3" max="3" width="12.28515625" style="533" customWidth="1"/>
    <col min="4" max="4" width="5.140625" style="533" customWidth="1"/>
    <col min="5" max="6" width="6.5703125" style="533" customWidth="1"/>
    <col min="7" max="7" width="7.28515625" style="533" customWidth="1"/>
    <col min="8" max="9" width="7" style="533" customWidth="1"/>
    <col min="10" max="10" width="12.7109375" style="533" customWidth="1"/>
    <col min="11" max="11" width="4.7109375" style="533" customWidth="1"/>
    <col min="12" max="12" width="9.140625" style="533" customWidth="1"/>
    <col min="13" max="13" width="7.28515625" style="533" customWidth="1"/>
    <col min="14" max="14" width="8.7109375" style="533" customWidth="1"/>
    <col min="15" max="16" width="6.85546875" style="533" customWidth="1"/>
    <col min="17" max="17" width="12.140625" style="533" customWidth="1"/>
    <col min="18" max="18" width="9" style="533" customWidth="1"/>
    <col min="19" max="19" width="8.28515625" style="533" customWidth="1"/>
    <col min="20" max="20" width="7.5703125" style="533" customWidth="1"/>
    <col min="21" max="21" width="6.42578125" style="533" customWidth="1"/>
    <col min="22" max="25" width="7.28515625" style="533" customWidth="1"/>
    <col min="26" max="27" width="12.85546875" style="533" customWidth="1"/>
    <col min="28" max="28" width="9.140625" style="533"/>
    <col min="29" max="40" width="21.42578125" style="533" hidden="1" customWidth="1"/>
    <col min="41" max="41" width="32.7109375" style="534" hidden="1" customWidth="1"/>
    <col min="42" max="46" width="17.140625" style="534" hidden="1" customWidth="1"/>
    <col min="47" max="47" width="17.140625" style="75" hidden="1" customWidth="1"/>
    <col min="48" max="48" width="17.140625" style="534" hidden="1" customWidth="1"/>
    <col min="49" max="49" width="21.42578125" style="534" hidden="1" customWidth="1"/>
    <col min="50" max="50" width="21.42578125" style="448" hidden="1" customWidth="1"/>
    <col min="51" max="51" width="38.42578125" style="448" hidden="1" customWidth="1"/>
    <col min="52" max="57" width="20" style="448" hidden="1" customWidth="1"/>
    <col min="58" max="59" width="9.140625" style="448" hidden="1" customWidth="1"/>
    <col min="60" max="60" width="10.85546875" style="448" hidden="1" customWidth="1"/>
    <col min="61" max="61" width="9.140625" style="448" hidden="1" customWidth="1"/>
    <col min="62" max="78" width="9.140625" style="533" hidden="1" customWidth="1"/>
    <col min="79" max="79" width="9.140625" style="448" customWidth="1"/>
    <col min="80" max="81" width="3.140625" style="448" customWidth="1"/>
    <col min="82" max="83" width="9.42578125" style="448" customWidth="1"/>
    <col min="84" max="84" width="4.5703125" style="448" customWidth="1"/>
    <col min="85" max="85" width="4.7109375" style="448" customWidth="1"/>
    <col min="86" max="86" width="5.85546875" style="448" customWidth="1"/>
    <col min="87" max="87" width="6.140625" style="448" customWidth="1"/>
    <col min="88" max="89" width="6" style="448" customWidth="1"/>
    <col min="90" max="90" width="6.28515625" style="448" customWidth="1"/>
    <col min="91" max="91" width="5.7109375" style="448" customWidth="1"/>
    <col min="92" max="92" width="9.28515625" style="448" customWidth="1"/>
    <col min="93" max="93" width="5.140625" style="448" customWidth="1"/>
    <col min="94" max="94" width="5" style="448" customWidth="1"/>
    <col min="95" max="95" width="5.42578125" style="448" customWidth="1"/>
    <col min="96" max="96" width="5.5703125" style="448" customWidth="1"/>
    <col min="97" max="99" width="9.140625" style="448" customWidth="1"/>
    <col min="100" max="16384" width="9.140625" style="533"/>
  </cols>
  <sheetData>
    <row r="1" spans="2:96" ht="14.25" customHeight="1" thickBot="1" x14ac:dyDescent="0.3"/>
    <row r="2" spans="2:96" ht="14.25" customHeight="1" thickTop="1" x14ac:dyDescent="0.25">
      <c r="B2" s="637" t="s">
        <v>0</v>
      </c>
      <c r="C2" s="638"/>
      <c r="D2" s="638"/>
      <c r="E2" s="638"/>
      <c r="F2" s="638"/>
      <c r="G2" s="638"/>
      <c r="H2" s="638"/>
      <c r="I2" s="638"/>
      <c r="J2" s="638"/>
      <c r="K2" s="638"/>
      <c r="L2" s="638"/>
      <c r="M2" s="638"/>
      <c r="N2" s="638"/>
      <c r="O2" s="638"/>
      <c r="P2" s="638"/>
      <c r="Q2" s="638"/>
      <c r="R2" s="638"/>
      <c r="S2" s="638"/>
      <c r="T2" s="638"/>
      <c r="U2" s="749"/>
      <c r="AD2" s="53" t="s">
        <v>775</v>
      </c>
      <c r="AE2" s="54" t="s">
        <v>776</v>
      </c>
      <c r="AF2" s="55" t="s">
        <v>777</v>
      </c>
      <c r="AG2" s="56" t="s">
        <v>778</v>
      </c>
      <c r="AH2" s="57" t="s">
        <v>779</v>
      </c>
      <c r="AI2" s="108" t="s">
        <v>750</v>
      </c>
      <c r="AJ2" s="108" t="s">
        <v>1086</v>
      </c>
      <c r="AK2" s="108" t="s">
        <v>1087</v>
      </c>
      <c r="AL2" s="108" t="s">
        <v>1088</v>
      </c>
      <c r="AM2" s="108" t="s">
        <v>1089</v>
      </c>
      <c r="AN2" s="108"/>
      <c r="AO2" s="56" t="s">
        <v>1104</v>
      </c>
      <c r="AP2" s="161" t="s">
        <v>775</v>
      </c>
      <c r="AQ2" s="161" t="s">
        <v>1142</v>
      </c>
      <c r="AR2" s="596" t="s">
        <v>1072</v>
      </c>
      <c r="AS2" s="161" t="s">
        <v>1074</v>
      </c>
      <c r="AT2" s="161" t="s">
        <v>807</v>
      </c>
      <c r="AU2" s="161" t="s">
        <v>1143</v>
      </c>
      <c r="AV2" s="161" t="s">
        <v>6</v>
      </c>
      <c r="AW2" s="57" t="s">
        <v>816</v>
      </c>
      <c r="AX2" s="137" t="s">
        <v>1286</v>
      </c>
      <c r="AY2" s="161" t="s">
        <v>1287</v>
      </c>
      <c r="AZ2" s="161" t="s">
        <v>1288</v>
      </c>
      <c r="BA2" s="161" t="s">
        <v>1289</v>
      </c>
      <c r="BB2" s="161" t="s">
        <v>1290</v>
      </c>
      <c r="BC2" s="161" t="s">
        <v>1291</v>
      </c>
      <c r="BD2" s="161" t="s">
        <v>6</v>
      </c>
      <c r="BE2" s="57" t="s">
        <v>1292</v>
      </c>
      <c r="CC2" s="659" t="str">
        <f>CONCATENATE("Player Name: ",IF(playername&lt;&gt;"",playername,""))</f>
        <v xml:space="preserve">Player Name: </v>
      </c>
      <c r="CD2" s="660"/>
      <c r="CE2" s="660"/>
      <c r="CF2" s="660"/>
      <c r="CG2" s="660"/>
      <c r="CH2" s="660" t="str">
        <f>CONCATENATE("Local Storyteller: ",IF(stname&lt;&gt;"",stname,""))</f>
        <v xml:space="preserve">Local Storyteller: </v>
      </c>
      <c r="CI2" s="660"/>
      <c r="CJ2" s="660"/>
      <c r="CK2" s="660"/>
      <c r="CL2" s="660"/>
      <c r="CM2" s="660" t="str">
        <f>CONCATENATE("Direct Coordinator: ",IF(coordinatorname&lt;&gt;"",coordinatorname,""))</f>
        <v xml:space="preserve">Direct Coordinator: </v>
      </c>
      <c r="CN2" s="660"/>
      <c r="CO2" s="660"/>
      <c r="CP2" s="660"/>
      <c r="CQ2" s="660"/>
      <c r="CR2" s="661"/>
    </row>
    <row r="3" spans="2:96" ht="14.25" customHeight="1" x14ac:dyDescent="0.25">
      <c r="B3" s="639"/>
      <c r="C3" s="640"/>
      <c r="D3" s="640"/>
      <c r="E3" s="640"/>
      <c r="F3" s="640"/>
      <c r="G3" s="640"/>
      <c r="H3" s="640"/>
      <c r="I3" s="640"/>
      <c r="J3" s="640"/>
      <c r="K3" s="640"/>
      <c r="L3" s="640"/>
      <c r="M3" s="640"/>
      <c r="N3" s="640"/>
      <c r="O3" s="640"/>
      <c r="P3" s="640"/>
      <c r="Q3" s="640"/>
      <c r="R3" s="640"/>
      <c r="S3" s="640"/>
      <c r="T3" s="640"/>
      <c r="U3" s="750"/>
      <c r="AD3" s="58" t="s">
        <v>780</v>
      </c>
      <c r="AE3" s="59" t="s">
        <v>781</v>
      </c>
      <c r="AF3" s="60" t="s">
        <v>782</v>
      </c>
      <c r="AG3" s="61">
        <v>1</v>
      </c>
      <c r="AH3" s="62">
        <v>5</v>
      </c>
      <c r="AI3" s="109">
        <v>0</v>
      </c>
      <c r="AJ3" s="109">
        <v>5</v>
      </c>
      <c r="AK3" s="109">
        <v>0</v>
      </c>
      <c r="AL3" s="109">
        <v>0</v>
      </c>
      <c r="AM3" s="109"/>
      <c r="AN3" s="109"/>
      <c r="AO3" s="61" t="s">
        <v>1154</v>
      </c>
      <c r="AP3" s="143" t="s">
        <v>1151</v>
      </c>
      <c r="AQ3" s="143"/>
      <c r="AR3" s="143" t="str">
        <f>IF(covenant1="Carthian Movement","Yes","")</f>
        <v/>
      </c>
      <c r="AS3" s="143"/>
      <c r="AT3" s="143">
        <v>5</v>
      </c>
      <c r="AU3" s="143" t="s">
        <v>806</v>
      </c>
      <c r="AV3" s="143" t="s">
        <v>14</v>
      </c>
      <c r="AW3" s="62">
        <f ca="1">SUMIF($B$46:$C$90,AO3,$D$46:$D$90)</f>
        <v>0</v>
      </c>
      <c r="AX3" s="138" t="s">
        <v>1293</v>
      </c>
      <c r="AY3" s="143" t="s">
        <v>1083</v>
      </c>
      <c r="AZ3" s="143" t="s">
        <v>809</v>
      </c>
      <c r="BA3" s="143" t="s">
        <v>208</v>
      </c>
      <c r="BB3" s="143" t="s">
        <v>810</v>
      </c>
      <c r="BC3" s="143" t="s">
        <v>813</v>
      </c>
      <c r="BD3" s="143" t="s">
        <v>2232</v>
      </c>
      <c r="BE3" s="62" t="str">
        <f>IF(clan1="Mekhet","Yes","No")</f>
        <v>No</v>
      </c>
      <c r="CC3" s="608" t="str">
        <f>CONCATENATE("Email Address: ",IF(emailaddress&lt;&gt;"",emailaddress,""))</f>
        <v xml:space="preserve">Email Address: </v>
      </c>
      <c r="CD3" s="609"/>
      <c r="CE3" s="609"/>
      <c r="CF3" s="609"/>
      <c r="CG3" s="609"/>
      <c r="CH3" s="609" t="str">
        <f>CONCATENATE("Storyteller Email: ",IF(stemail&lt;&gt;"",stemail,""))</f>
        <v xml:space="preserve">Storyteller Email: </v>
      </c>
      <c r="CI3" s="609"/>
      <c r="CJ3" s="609"/>
      <c r="CK3" s="609"/>
      <c r="CL3" s="609"/>
      <c r="CM3" s="609" t="str">
        <f>CONCATENATE("Coordinator Email: ",IF(cemail&lt;&gt;"",cemail,""))</f>
        <v xml:space="preserve">Coordinator Email: </v>
      </c>
      <c r="CN3" s="609"/>
      <c r="CO3" s="609"/>
      <c r="CP3" s="609"/>
      <c r="CQ3" s="609"/>
      <c r="CR3" s="610"/>
    </row>
    <row r="4" spans="2:96" ht="14.25" customHeight="1" x14ac:dyDescent="0.25">
      <c r="B4" s="823" t="s">
        <v>731</v>
      </c>
      <c r="C4" s="824"/>
      <c r="D4" s="647"/>
      <c r="E4" s="647"/>
      <c r="F4" s="647"/>
      <c r="G4" s="647"/>
      <c r="H4" s="824" t="s">
        <v>734</v>
      </c>
      <c r="I4" s="824"/>
      <c r="J4" s="824"/>
      <c r="K4" s="647"/>
      <c r="L4" s="647"/>
      <c r="M4" s="647"/>
      <c r="N4" s="647"/>
      <c r="O4" s="824" t="s">
        <v>737</v>
      </c>
      <c r="P4" s="824"/>
      <c r="Q4" s="824"/>
      <c r="R4" s="647"/>
      <c r="S4" s="647"/>
      <c r="T4" s="647"/>
      <c r="U4" s="650"/>
      <c r="AD4" s="58" t="s">
        <v>783</v>
      </c>
      <c r="AE4" s="59" t="s">
        <v>784</v>
      </c>
      <c r="AF4" s="60" t="s">
        <v>785</v>
      </c>
      <c r="AG4" s="61">
        <v>2</v>
      </c>
      <c r="AH4" s="62">
        <v>6</v>
      </c>
      <c r="AI4" s="109">
        <v>1</v>
      </c>
      <c r="AJ4" s="109">
        <v>5</v>
      </c>
      <c r="AK4" s="109">
        <v>10</v>
      </c>
      <c r="AL4" s="109">
        <v>1</v>
      </c>
      <c r="AM4" s="109" t="s">
        <v>1090</v>
      </c>
      <c r="AN4" s="111" t="s">
        <v>870</v>
      </c>
      <c r="AO4" s="61" t="s">
        <v>1271</v>
      </c>
      <c r="AP4" s="143">
        <v>1</v>
      </c>
      <c r="AQ4" s="143"/>
      <c r="AR4" s="143"/>
      <c r="AS4" s="143"/>
      <c r="AT4" s="143">
        <v>1</v>
      </c>
      <c r="AU4" s="143" t="str">
        <f>IF(covenant1="Circle of the Crone","Yes","No")</f>
        <v>No</v>
      </c>
      <c r="AV4" s="143" t="s">
        <v>14</v>
      </c>
      <c r="AW4" s="62">
        <f t="shared" ref="AW4:AW67" ca="1" si="0">SUMIF($B$46:$C$90,AO4,$D$46:$D$90)</f>
        <v>0</v>
      </c>
      <c r="AX4" s="138" t="s">
        <v>1306</v>
      </c>
      <c r="AY4" s="143" t="s">
        <v>1082</v>
      </c>
      <c r="AZ4" s="143" t="s">
        <v>808</v>
      </c>
      <c r="BA4" s="143" t="s">
        <v>814</v>
      </c>
      <c r="BB4" s="143" t="s">
        <v>262</v>
      </c>
      <c r="BC4" s="143" t="s">
        <v>1307</v>
      </c>
      <c r="BD4" s="143" t="s">
        <v>2232</v>
      </c>
      <c r="BE4" s="62" t="str">
        <f>IF(clan1="Gangrel","Yes","No")</f>
        <v>No</v>
      </c>
      <c r="CC4" s="611" t="str">
        <f>CONCATENATE("Membership ID: ",IF(membernumber&lt;&gt;"",membernumber,""))</f>
        <v xml:space="preserve">Membership ID: </v>
      </c>
      <c r="CD4" s="612"/>
      <c r="CE4" s="612"/>
      <c r="CF4" s="612"/>
      <c r="CG4" s="612"/>
      <c r="CH4" s="612" t="str">
        <f>CONCATENATE("Primary/Secondary: ",IF(priorsec&lt;&gt;"",priorsec,""))</f>
        <v xml:space="preserve">Primary/Secondary: </v>
      </c>
      <c r="CI4" s="612"/>
      <c r="CJ4" s="612"/>
      <c r="CK4" s="612"/>
      <c r="CL4" s="612"/>
      <c r="CM4" s="612" t="str">
        <f>CONCATENATE("Character Domain: ",IF(chardomain&lt;&gt;"",chardomain,""))</f>
        <v xml:space="preserve">Character Domain: </v>
      </c>
      <c r="CN4" s="612"/>
      <c r="CO4" s="612"/>
      <c r="CP4" s="612"/>
      <c r="CQ4" s="612"/>
      <c r="CR4" s="613"/>
    </row>
    <row r="5" spans="2:96" ht="14.25" customHeight="1" x14ac:dyDescent="0.25">
      <c r="B5" s="823" t="s">
        <v>732</v>
      </c>
      <c r="C5" s="824"/>
      <c r="D5" s="647"/>
      <c r="E5" s="647"/>
      <c r="F5" s="647"/>
      <c r="G5" s="647"/>
      <c r="H5" s="824" t="s">
        <v>730</v>
      </c>
      <c r="I5" s="824"/>
      <c r="J5" s="824"/>
      <c r="K5" s="647"/>
      <c r="L5" s="647"/>
      <c r="M5" s="647"/>
      <c r="N5" s="647"/>
      <c r="O5" s="824" t="s">
        <v>738</v>
      </c>
      <c r="P5" s="824"/>
      <c r="Q5" s="824"/>
      <c r="R5" s="647"/>
      <c r="S5" s="647"/>
      <c r="T5" s="647"/>
      <c r="U5" s="650"/>
      <c r="AD5" s="136"/>
      <c r="AE5" s="59" t="s">
        <v>786</v>
      </c>
      <c r="AF5" s="60" t="s">
        <v>787</v>
      </c>
      <c r="AG5" s="61">
        <v>3</v>
      </c>
      <c r="AH5" s="62">
        <v>7</v>
      </c>
      <c r="AI5" s="109">
        <v>2</v>
      </c>
      <c r="AJ5" s="109">
        <v>5</v>
      </c>
      <c r="AK5" s="109">
        <v>11</v>
      </c>
      <c r="AL5" s="109">
        <v>1</v>
      </c>
      <c r="AM5" s="109" t="s">
        <v>1090</v>
      </c>
      <c r="AN5" s="111" t="s">
        <v>875</v>
      </c>
      <c r="AO5" s="61" t="s">
        <v>1272</v>
      </c>
      <c r="AP5" s="143">
        <v>2</v>
      </c>
      <c r="AQ5" s="143"/>
      <c r="AR5" s="143"/>
      <c r="AS5" s="143"/>
      <c r="AT5" s="143">
        <v>2</v>
      </c>
      <c r="AU5" s="143" t="str">
        <f>IF(covenant1="Circle of the Crone","Yes","No")</f>
        <v>No</v>
      </c>
      <c r="AV5" s="143" t="s">
        <v>14</v>
      </c>
      <c r="AW5" s="62">
        <f t="shared" ca="1" si="0"/>
        <v>0</v>
      </c>
      <c r="AX5" s="138" t="s">
        <v>1297</v>
      </c>
      <c r="AY5" s="143" t="s">
        <v>1081</v>
      </c>
      <c r="AZ5" s="143" t="s">
        <v>208</v>
      </c>
      <c r="BA5" s="143" t="s">
        <v>811</v>
      </c>
      <c r="BB5" s="143" t="s">
        <v>263</v>
      </c>
      <c r="BC5" s="143" t="s">
        <v>1298</v>
      </c>
      <c r="BD5" s="143" t="s">
        <v>2232</v>
      </c>
      <c r="BE5" s="62" t="str">
        <f>IF(clan1="Daeva","Yes","No")</f>
        <v>No</v>
      </c>
      <c r="CC5" s="450"/>
      <c r="CD5" s="450"/>
      <c r="CE5" s="450"/>
      <c r="CF5" s="450"/>
      <c r="CG5" s="450"/>
      <c r="CH5" s="450"/>
      <c r="CI5" s="450"/>
      <c r="CJ5" s="450"/>
      <c r="CK5" s="450"/>
      <c r="CL5" s="450"/>
      <c r="CM5" s="450"/>
      <c r="CN5" s="450"/>
      <c r="CO5" s="450"/>
      <c r="CP5" s="450"/>
      <c r="CQ5" s="450"/>
      <c r="CR5" s="450"/>
    </row>
    <row r="6" spans="2:96" ht="14.25" customHeight="1" thickBot="1" x14ac:dyDescent="0.3">
      <c r="B6" s="825" t="s">
        <v>733</v>
      </c>
      <c r="C6" s="826"/>
      <c r="D6" s="822"/>
      <c r="E6" s="822"/>
      <c r="F6" s="822"/>
      <c r="G6" s="822"/>
      <c r="H6" s="826" t="s">
        <v>735</v>
      </c>
      <c r="I6" s="826"/>
      <c r="J6" s="826"/>
      <c r="K6" s="822"/>
      <c r="L6" s="822"/>
      <c r="M6" s="822"/>
      <c r="N6" s="822"/>
      <c r="O6" s="826" t="s">
        <v>736</v>
      </c>
      <c r="P6" s="826"/>
      <c r="Q6" s="826"/>
      <c r="R6" s="827"/>
      <c r="S6" s="827"/>
      <c r="T6" s="827"/>
      <c r="U6" s="828"/>
      <c r="AD6" s="63">
        <v>3</v>
      </c>
      <c r="AE6" s="64" t="s">
        <v>788</v>
      </c>
      <c r="AF6" s="60" t="s">
        <v>789</v>
      </c>
      <c r="AG6" s="61">
        <v>4</v>
      </c>
      <c r="AH6" s="62">
        <v>8</v>
      </c>
      <c r="AI6" s="109">
        <v>3</v>
      </c>
      <c r="AJ6" s="109">
        <v>5</v>
      </c>
      <c r="AK6" s="109">
        <v>12</v>
      </c>
      <c r="AL6" s="109">
        <v>1</v>
      </c>
      <c r="AM6" s="109" t="s">
        <v>1091</v>
      </c>
      <c r="AN6" s="111" t="s">
        <v>880</v>
      </c>
      <c r="AO6" s="61" t="s">
        <v>1155</v>
      </c>
      <c r="AP6" s="143">
        <v>3</v>
      </c>
      <c r="AQ6" s="143"/>
      <c r="AR6" s="143"/>
      <c r="AS6" s="143"/>
      <c r="AT6" s="143">
        <v>3</v>
      </c>
      <c r="AU6" s="143" t="s">
        <v>806</v>
      </c>
      <c r="AV6" s="143" t="s">
        <v>14</v>
      </c>
      <c r="AW6" s="62">
        <f t="shared" ca="1" si="0"/>
        <v>0</v>
      </c>
      <c r="AX6" s="138" t="s">
        <v>2225</v>
      </c>
      <c r="AY6" s="143" t="s">
        <v>1084</v>
      </c>
      <c r="AZ6" s="143" t="s">
        <v>812</v>
      </c>
      <c r="BA6" s="143" t="s">
        <v>813</v>
      </c>
      <c r="BB6" s="143" t="s">
        <v>263</v>
      </c>
      <c r="BC6" s="143" t="s">
        <v>2226</v>
      </c>
      <c r="BD6" s="143" t="s">
        <v>2232</v>
      </c>
      <c r="BE6" s="62" t="str">
        <f>IF(clan1="Nosferatu","Yes","No")</f>
        <v>No</v>
      </c>
      <c r="CC6" s="659" t="str">
        <f>CONCATENATE("Character Name: ",IF(charname&lt;&gt;"",charname,""))</f>
        <v xml:space="preserve">Character Name: </v>
      </c>
      <c r="CD6" s="660"/>
      <c r="CE6" s="660"/>
      <c r="CF6" s="660"/>
      <c r="CG6" s="660"/>
      <c r="CH6" s="660"/>
      <c r="CI6" s="660"/>
      <c r="CJ6" s="660"/>
      <c r="CK6" s="660" t="str">
        <f>CONCATENATE("Clan: ",IF(clan1&lt;&gt;"",clan1,""))</f>
        <v xml:space="preserve">Clan: </v>
      </c>
      <c r="CL6" s="660"/>
      <c r="CM6" s="660"/>
      <c r="CN6" s="660"/>
      <c r="CO6" s="660" t="s">
        <v>751</v>
      </c>
      <c r="CP6" s="660"/>
      <c r="CQ6" s="660"/>
      <c r="CR6" s="475">
        <f>BP</f>
        <v>1</v>
      </c>
    </row>
    <row r="7" spans="2:96" ht="14.25" customHeight="1" thickTop="1" thickBot="1" x14ac:dyDescent="0.3">
      <c r="AD7" s="65" t="s">
        <v>790</v>
      </c>
      <c r="AE7" s="64" t="s">
        <v>791</v>
      </c>
      <c r="AF7" s="60" t="s">
        <v>792</v>
      </c>
      <c r="AG7" s="61">
        <v>5</v>
      </c>
      <c r="AH7" s="62">
        <v>0</v>
      </c>
      <c r="AI7" s="109">
        <v>4</v>
      </c>
      <c r="AJ7" s="109">
        <v>5</v>
      </c>
      <c r="AK7" s="109">
        <v>13</v>
      </c>
      <c r="AL7" s="109">
        <v>2</v>
      </c>
      <c r="AM7" s="109" t="s">
        <v>1091</v>
      </c>
      <c r="AN7" s="111" t="s">
        <v>885</v>
      </c>
      <c r="AO7" s="61" t="s">
        <v>1156</v>
      </c>
      <c r="AP7" s="143">
        <v>2</v>
      </c>
      <c r="AQ7" s="143"/>
      <c r="AR7" s="143"/>
      <c r="AS7" s="143"/>
      <c r="AT7" s="143">
        <v>2</v>
      </c>
      <c r="AU7" s="143" t="str">
        <f ca="1">IF(AND(resolve&gt;1,AW47&lt;1,OR(larceny&gt;1,subterfuge&gt;1)),"Yes","No")</f>
        <v>No</v>
      </c>
      <c r="AV7" s="143" t="s">
        <v>14</v>
      </c>
      <c r="AW7" s="62">
        <f t="shared" ca="1" si="0"/>
        <v>0</v>
      </c>
      <c r="AX7" s="138" t="s">
        <v>1331</v>
      </c>
      <c r="AY7" s="143" t="s">
        <v>1085</v>
      </c>
      <c r="AZ7" s="143" t="s">
        <v>808</v>
      </c>
      <c r="BA7" s="143" t="s">
        <v>810</v>
      </c>
      <c r="BB7" s="143" t="s">
        <v>262</v>
      </c>
      <c r="BC7" s="143" t="s">
        <v>1332</v>
      </c>
      <c r="BD7" s="143" t="s">
        <v>2232</v>
      </c>
      <c r="BE7" s="62" t="str">
        <f>IF(clan1="Ventrue","Yes","No")</f>
        <v>No</v>
      </c>
      <c r="CC7" s="608" t="str">
        <f>CONCATENATE("Concept: ",IF(concept&lt;&gt;"",concept,""))</f>
        <v xml:space="preserve">Concept: </v>
      </c>
      <c r="CD7" s="609"/>
      <c r="CE7" s="609"/>
      <c r="CF7" s="609"/>
      <c r="CG7" s="609"/>
      <c r="CH7" s="609"/>
      <c r="CI7" s="609"/>
      <c r="CJ7" s="609"/>
      <c r="CK7" s="609" t="str">
        <f>CONCATENATE("Virtue: ",IF(virtuename&lt;&gt;"",virtuename,""))</f>
        <v xml:space="preserve">Virtue: </v>
      </c>
      <c r="CL7" s="609"/>
      <c r="CM7" s="609"/>
      <c r="CN7" s="609"/>
      <c r="CO7" s="609" t="s">
        <v>2203</v>
      </c>
      <c r="CP7" s="609"/>
      <c r="CQ7" s="609" t="str">
        <f>IF(priorsec&lt;&gt;"",priorsec,"")</f>
        <v/>
      </c>
      <c r="CR7" s="610"/>
    </row>
    <row r="8" spans="2:96" ht="14.25" customHeight="1" thickTop="1" x14ac:dyDescent="0.25">
      <c r="B8" s="637" t="s">
        <v>739</v>
      </c>
      <c r="C8" s="638"/>
      <c r="D8" s="638"/>
      <c r="E8" s="638"/>
      <c r="F8" s="638"/>
      <c r="G8" s="638"/>
      <c r="H8" s="638"/>
      <c r="I8" s="638"/>
      <c r="J8" s="27"/>
      <c r="K8" s="27"/>
      <c r="L8" s="27"/>
      <c r="M8" s="27"/>
      <c r="N8" s="28"/>
      <c r="P8" s="637" t="s">
        <v>1094</v>
      </c>
      <c r="Q8" s="638"/>
      <c r="R8" s="638"/>
      <c r="S8" s="749"/>
      <c r="T8" s="27"/>
      <c r="U8" s="27"/>
      <c r="V8" s="27"/>
      <c r="W8" s="27"/>
      <c r="X8" s="27"/>
      <c r="Y8" s="28"/>
      <c r="AD8" s="66" t="s">
        <v>793</v>
      </c>
      <c r="AE8" s="64" t="s">
        <v>794</v>
      </c>
      <c r="AF8" s="60" t="s">
        <v>795</v>
      </c>
      <c r="AG8" s="61">
        <v>6</v>
      </c>
      <c r="AH8" s="62">
        <v>0</v>
      </c>
      <c r="AI8" s="109">
        <v>5</v>
      </c>
      <c r="AJ8" s="109">
        <v>5</v>
      </c>
      <c r="AK8" s="109">
        <v>14</v>
      </c>
      <c r="AL8" s="109">
        <v>2</v>
      </c>
      <c r="AM8" s="109" t="s">
        <v>1091</v>
      </c>
      <c r="AN8" s="111" t="s">
        <v>890</v>
      </c>
      <c r="AO8" s="61" t="s">
        <v>1157</v>
      </c>
      <c r="AP8" s="143">
        <v>3</v>
      </c>
      <c r="AQ8" s="143"/>
      <c r="AR8" s="143"/>
      <c r="AS8" s="143"/>
      <c r="AT8" s="143">
        <v>3</v>
      </c>
      <c r="AU8" s="143" t="str">
        <f ca="1">IF(AND(resolve&gt;1,AW47&lt;1,OR(larceny&gt;1,subterfuge&gt;1)),"Yes","No")</f>
        <v>No</v>
      </c>
      <c r="AV8" s="143" t="s">
        <v>14</v>
      </c>
      <c r="AW8" s="62">
        <f t="shared" ca="1" si="0"/>
        <v>0</v>
      </c>
      <c r="AX8" s="138" t="s">
        <v>1323</v>
      </c>
      <c r="AY8" s="143" t="s">
        <v>1084</v>
      </c>
      <c r="AZ8" s="143" t="s">
        <v>208</v>
      </c>
      <c r="BA8" s="143" t="s">
        <v>812</v>
      </c>
      <c r="BB8" s="143" t="s">
        <v>813</v>
      </c>
      <c r="BC8" s="143" t="s">
        <v>263</v>
      </c>
      <c r="BD8" s="143" t="s">
        <v>2232</v>
      </c>
      <c r="BE8" s="62" t="str">
        <f>IF(clan1="Nosferatu","Yes","No")</f>
        <v>No</v>
      </c>
      <c r="CC8" s="608" t="str">
        <f>CONCATENATE("Bloodline: ",IF(bloodline&lt;&gt;"",bloodline,""))</f>
        <v xml:space="preserve">Bloodline: </v>
      </c>
      <c r="CD8" s="609"/>
      <c r="CE8" s="609"/>
      <c r="CF8" s="609"/>
      <c r="CG8" s="609"/>
      <c r="CH8" s="609"/>
      <c r="CI8" s="609"/>
      <c r="CJ8" s="609"/>
      <c r="CK8" s="609" t="str">
        <f>CONCATENATE("Vice: ",IF(vicename&lt;&gt;"",vicename,""))</f>
        <v xml:space="preserve">Vice: </v>
      </c>
      <c r="CL8" s="609"/>
      <c r="CM8" s="609"/>
      <c r="CN8" s="609"/>
      <c r="CO8" s="451" t="s">
        <v>741</v>
      </c>
      <c r="CP8" s="452">
        <f>age</f>
        <v>0</v>
      </c>
      <c r="CQ8" s="451"/>
      <c r="CR8" s="453"/>
    </row>
    <row r="9" spans="2:96" ht="14.25" customHeight="1" x14ac:dyDescent="0.25">
      <c r="B9" s="639"/>
      <c r="C9" s="640"/>
      <c r="D9" s="640"/>
      <c r="E9" s="640"/>
      <c r="F9" s="640"/>
      <c r="G9" s="640"/>
      <c r="H9" s="640"/>
      <c r="I9" s="640"/>
      <c r="J9" s="114"/>
      <c r="K9" s="114"/>
      <c r="L9" s="114"/>
      <c r="M9" s="114"/>
      <c r="N9" s="30"/>
      <c r="P9" s="639"/>
      <c r="Q9" s="640"/>
      <c r="R9" s="640"/>
      <c r="S9" s="750"/>
      <c r="T9" s="114"/>
      <c r="U9" s="114"/>
      <c r="V9" s="115" t="s">
        <v>1095</v>
      </c>
      <c r="W9" s="416" t="s">
        <v>1096</v>
      </c>
      <c r="X9" s="116" t="s">
        <v>1097</v>
      </c>
      <c r="Y9" s="417" t="s">
        <v>1096</v>
      </c>
      <c r="AD9" s="67" t="s">
        <v>796</v>
      </c>
      <c r="AE9" s="68" t="s">
        <v>797</v>
      </c>
      <c r="AF9" s="69" t="s">
        <v>798</v>
      </c>
      <c r="AG9" s="61">
        <v>7</v>
      </c>
      <c r="AH9" s="62">
        <v>0</v>
      </c>
      <c r="AI9" s="109">
        <v>6</v>
      </c>
      <c r="AJ9" s="109">
        <v>6</v>
      </c>
      <c r="AK9" s="109">
        <v>15</v>
      </c>
      <c r="AL9" s="109">
        <v>3</v>
      </c>
      <c r="AM9" s="109" t="s">
        <v>1091</v>
      </c>
      <c r="AN9" s="111" t="s">
        <v>895</v>
      </c>
      <c r="AO9" s="61" t="s">
        <v>1158</v>
      </c>
      <c r="AP9" s="143">
        <v>4</v>
      </c>
      <c r="AQ9" s="143"/>
      <c r="AR9" s="143"/>
      <c r="AS9" s="143"/>
      <c r="AT9" s="143">
        <v>4</v>
      </c>
      <c r="AU9" s="143" t="str">
        <f ca="1">IF(AND(resolve&gt;1,AW47&lt;1,OR(larceny&gt;1,subterfuge&gt;1)),"Yes","No")</f>
        <v>No</v>
      </c>
      <c r="AV9" s="143" t="s">
        <v>14</v>
      </c>
      <c r="AW9" s="62">
        <f t="shared" ca="1" si="0"/>
        <v>0</v>
      </c>
      <c r="AX9" s="138" t="s">
        <v>2227</v>
      </c>
      <c r="AY9" s="143" t="s">
        <v>1081</v>
      </c>
      <c r="AZ9" s="143" t="s">
        <v>208</v>
      </c>
      <c r="BA9" s="143" t="s">
        <v>811</v>
      </c>
      <c r="BB9" s="143" t="s">
        <v>263</v>
      </c>
      <c r="BC9" s="143" t="s">
        <v>2228</v>
      </c>
      <c r="BD9" s="143" t="s">
        <v>2232</v>
      </c>
      <c r="BE9" s="62" t="str">
        <f>IF(clan1="Daeva","Yes","No")</f>
        <v>No</v>
      </c>
      <c r="CC9" s="611" t="str">
        <f>CONCATENATE("Covenant: ",IF(covenant1&lt;&gt;"",covenant1,""),IF(dualcov&lt;&gt;"",CONCATENATE(" (Dual ",dualcov," - ",DualCovStatus,")"),""))</f>
        <v xml:space="preserve">Covenant: </v>
      </c>
      <c r="CD9" s="612"/>
      <c r="CE9" s="612"/>
      <c r="CF9" s="612"/>
      <c r="CG9" s="612"/>
      <c r="CH9" s="612"/>
      <c r="CI9" s="612"/>
      <c r="CJ9" s="612" t="str">
        <f>CONCATENATE("Title: ",IF(title&lt;&gt;"",title,""))</f>
        <v xml:space="preserve">Title: </v>
      </c>
      <c r="CK9" s="612"/>
      <c r="CL9" s="612"/>
      <c r="CM9" s="612"/>
      <c r="CN9" s="612"/>
      <c r="CO9" s="612"/>
      <c r="CP9" s="612"/>
      <c r="CQ9" s="612"/>
      <c r="CR9" s="613"/>
    </row>
    <row r="10" spans="2:96" ht="14.25" customHeight="1" x14ac:dyDescent="0.25">
      <c r="B10" s="535" t="s">
        <v>740</v>
      </c>
      <c r="C10" s="647"/>
      <c r="D10" s="647"/>
      <c r="E10" s="647"/>
      <c r="F10" s="647"/>
      <c r="G10" s="647"/>
      <c r="H10" s="114"/>
      <c r="I10" s="114"/>
      <c r="J10" s="114"/>
      <c r="K10" s="829" t="s">
        <v>751</v>
      </c>
      <c r="L10" s="829"/>
      <c r="M10" s="431">
        <f>BP</f>
        <v>1</v>
      </c>
      <c r="N10" s="30"/>
      <c r="P10" s="113"/>
      <c r="Q10" s="114"/>
      <c r="R10" s="416" t="s">
        <v>1095</v>
      </c>
      <c r="S10" s="417" t="s">
        <v>1098</v>
      </c>
      <c r="T10" s="726" t="s">
        <v>757</v>
      </c>
      <c r="U10" s="726"/>
      <c r="V10" s="429">
        <f>SUM(G24:G26,G29:G31,G34:G36)</f>
        <v>0</v>
      </c>
      <c r="W10" s="117">
        <f>IFERROR(V10/totalxpearned,"0")</f>
        <v>0</v>
      </c>
      <c r="X10" s="118">
        <f>'XP log'!J504</f>
        <v>0</v>
      </c>
      <c r="Y10" s="119">
        <f t="shared" ref="Y10:Y21" si="1">IFERROR(X10/totalxpearned,"0")</f>
        <v>0</v>
      </c>
      <c r="AD10" s="70" t="s">
        <v>799</v>
      </c>
      <c r="AE10" s="70" t="s">
        <v>799</v>
      </c>
      <c r="AF10" s="785" t="s">
        <v>800</v>
      </c>
      <c r="AG10" s="61">
        <v>8</v>
      </c>
      <c r="AH10" s="62">
        <v>0</v>
      </c>
      <c r="AI10" s="109">
        <v>7</v>
      </c>
      <c r="AJ10" s="109">
        <v>7</v>
      </c>
      <c r="AK10" s="109">
        <v>20</v>
      </c>
      <c r="AL10" s="109">
        <v>5</v>
      </c>
      <c r="AM10" s="109" t="s">
        <v>1092</v>
      </c>
      <c r="AN10" s="111" t="s">
        <v>920</v>
      </c>
      <c r="AO10" s="61" t="s">
        <v>1159</v>
      </c>
      <c r="AP10" s="143">
        <v>2</v>
      </c>
      <c r="AQ10" s="143"/>
      <c r="AR10" s="143"/>
      <c r="AS10" s="143"/>
      <c r="AT10" s="143">
        <v>2</v>
      </c>
      <c r="AU10" s="143" t="str">
        <f>IF(resolve&gt;1,"Yes","No")</f>
        <v>No</v>
      </c>
      <c r="AV10" s="143" t="s">
        <v>14</v>
      </c>
      <c r="AW10" s="62">
        <f t="shared" ca="1" si="0"/>
        <v>0</v>
      </c>
      <c r="AX10" s="138" t="s">
        <v>1308</v>
      </c>
      <c r="AY10" s="143" t="s">
        <v>1082</v>
      </c>
      <c r="AZ10" s="143" t="s">
        <v>808</v>
      </c>
      <c r="BA10" s="143" t="s">
        <v>812</v>
      </c>
      <c r="BB10" s="143" t="s">
        <v>814</v>
      </c>
      <c r="BC10" s="143" t="s">
        <v>262</v>
      </c>
      <c r="BD10" s="143" t="s">
        <v>2232</v>
      </c>
      <c r="BE10" s="62" t="str">
        <f>IF(clan1="Gangrel","Yes","No")</f>
        <v>No</v>
      </c>
      <c r="CC10" s="450"/>
      <c r="CD10" s="450"/>
      <c r="CE10" s="450"/>
      <c r="CF10" s="450"/>
      <c r="CG10" s="450"/>
      <c r="CH10" s="450"/>
      <c r="CI10" s="450"/>
      <c r="CJ10" s="450"/>
      <c r="CK10" s="450"/>
      <c r="CL10" s="450"/>
      <c r="CM10" s="450"/>
      <c r="CN10" s="450"/>
      <c r="CO10" s="450"/>
      <c r="CP10" s="450"/>
      <c r="CQ10" s="450"/>
      <c r="CR10" s="450"/>
    </row>
    <row r="11" spans="2:96" ht="14.25" customHeight="1" x14ac:dyDescent="0.25">
      <c r="B11" s="535" t="s">
        <v>741</v>
      </c>
      <c r="C11" s="647"/>
      <c r="D11" s="647"/>
      <c r="E11" s="647"/>
      <c r="F11" s="647"/>
      <c r="G11" s="647"/>
      <c r="H11" s="114"/>
      <c r="I11" s="114"/>
      <c r="J11" s="114"/>
      <c r="K11" s="829" t="s">
        <v>752</v>
      </c>
      <c r="L11" s="829"/>
      <c r="M11" s="431">
        <f>VLOOKUP(M10,bpchart,3,FALSE)</f>
        <v>10</v>
      </c>
      <c r="N11" s="30"/>
      <c r="P11" s="778" t="s">
        <v>1099</v>
      </c>
      <c r="Q11" s="779"/>
      <c r="R11" s="120">
        <f>totalxpearned</f>
        <v>100</v>
      </c>
      <c r="S11" s="121">
        <f>totalxpearned</f>
        <v>100</v>
      </c>
      <c r="T11" s="726" t="s">
        <v>1100</v>
      </c>
      <c r="U11" s="726"/>
      <c r="V11" s="429">
        <f>SUM(P27:P34,P37:P44,P47:P54)</f>
        <v>0</v>
      </c>
      <c r="W11" s="117">
        <f t="shared" ref="W11:W21" si="2">IFERROR(V11/totalxpearned,"0")</f>
        <v>0</v>
      </c>
      <c r="X11" s="118">
        <f>'XP log'!K504</f>
        <v>0</v>
      </c>
      <c r="Y11" s="119">
        <f t="shared" si="1"/>
        <v>0</v>
      </c>
      <c r="AD11" s="71" t="s">
        <v>801</v>
      </c>
      <c r="AE11" s="71" t="s">
        <v>801</v>
      </c>
      <c r="AF11" s="786"/>
      <c r="AG11" s="61">
        <v>9</v>
      </c>
      <c r="AH11" s="62">
        <v>0</v>
      </c>
      <c r="AI11" s="109">
        <v>8</v>
      </c>
      <c r="AJ11" s="109">
        <v>8</v>
      </c>
      <c r="AK11" s="109">
        <v>30</v>
      </c>
      <c r="AL11" s="109">
        <v>7</v>
      </c>
      <c r="AM11" s="109" t="s">
        <v>1092</v>
      </c>
      <c r="AN11" s="111" t="s">
        <v>970</v>
      </c>
      <c r="AO11" s="61" t="s">
        <v>1160</v>
      </c>
      <c r="AP11" s="143">
        <v>2</v>
      </c>
      <c r="AQ11" s="143"/>
      <c r="AR11" s="143"/>
      <c r="AS11" s="143"/>
      <c r="AT11" s="143">
        <v>2</v>
      </c>
      <c r="AU11" s="143" t="str">
        <f>IF(AND(strength&gt;2,stamina&gt;2),"Yes","No")</f>
        <v>No</v>
      </c>
      <c r="AV11" s="143" t="s">
        <v>14</v>
      </c>
      <c r="AW11" s="62">
        <f t="shared" ca="1" si="0"/>
        <v>0</v>
      </c>
      <c r="AX11" s="138" t="s">
        <v>1309</v>
      </c>
      <c r="AY11" s="143" t="s">
        <v>1082</v>
      </c>
      <c r="AZ11" s="143" t="s">
        <v>808</v>
      </c>
      <c r="BA11" s="143" t="s">
        <v>814</v>
      </c>
      <c r="BB11" s="143" t="s">
        <v>262</v>
      </c>
      <c r="BC11" s="143" t="s">
        <v>263</v>
      </c>
      <c r="BD11" s="143" t="s">
        <v>2232</v>
      </c>
      <c r="BE11" s="62" t="str">
        <f>IF(clan1="Gangrel","Yes","No")</f>
        <v>No</v>
      </c>
      <c r="CC11" s="454"/>
      <c r="CD11" s="887" t="s">
        <v>2140</v>
      </c>
      <c r="CE11" s="887"/>
      <c r="CF11" s="887"/>
      <c r="CG11" s="888"/>
      <c r="CH11" s="889" t="s">
        <v>2162</v>
      </c>
      <c r="CI11" s="887"/>
      <c r="CJ11" s="887"/>
      <c r="CK11" s="887"/>
      <c r="CL11" s="888"/>
      <c r="CM11" s="889" t="s">
        <v>2163</v>
      </c>
      <c r="CN11" s="887"/>
      <c r="CO11" s="887"/>
      <c r="CP11" s="887"/>
      <c r="CQ11" s="887"/>
      <c r="CR11" s="888"/>
    </row>
    <row r="12" spans="2:96" ht="14.25" customHeight="1" x14ac:dyDescent="0.25">
      <c r="B12" s="535" t="s">
        <v>742</v>
      </c>
      <c r="C12" s="647"/>
      <c r="D12" s="647"/>
      <c r="E12" s="647"/>
      <c r="F12" s="647"/>
      <c r="G12" s="647"/>
      <c r="H12" s="114"/>
      <c r="I12" s="114"/>
      <c r="J12" s="488"/>
      <c r="K12" s="806" t="s">
        <v>753</v>
      </c>
      <c r="L12" s="806"/>
      <c r="M12" s="431">
        <f>VLOOKUP(M10,bpchart,4,FALSE)</f>
        <v>1</v>
      </c>
      <c r="N12" s="30"/>
      <c r="P12" s="778" t="s">
        <v>1101</v>
      </c>
      <c r="Q12" s="779"/>
      <c r="R12" s="122">
        <f>SUM(V10:V22)</f>
        <v>0</v>
      </c>
      <c r="S12" s="121">
        <f>SUM(X10:X22)</f>
        <v>0</v>
      </c>
      <c r="T12" s="736" t="s">
        <v>1102</v>
      </c>
      <c r="U12" s="736"/>
      <c r="V12" s="429">
        <f>SUM(X27:X34,X37:X44,X47:X54,Z60:Z74)</f>
        <v>0</v>
      </c>
      <c r="W12" s="117">
        <f t="shared" si="2"/>
        <v>0</v>
      </c>
      <c r="X12" s="118">
        <f>'XP log'!L504</f>
        <v>0</v>
      </c>
      <c r="Y12" s="119">
        <f t="shared" si="1"/>
        <v>0</v>
      </c>
      <c r="AD12" s="71" t="s">
        <v>802</v>
      </c>
      <c r="AE12" s="71" t="s">
        <v>802</v>
      </c>
      <c r="AF12" s="787"/>
      <c r="AG12" s="72">
        <v>10</v>
      </c>
      <c r="AH12" s="73">
        <v>0</v>
      </c>
      <c r="AI12" s="109">
        <v>9</v>
      </c>
      <c r="AJ12" s="109">
        <v>9</v>
      </c>
      <c r="AK12" s="109">
        <v>50</v>
      </c>
      <c r="AL12" s="109">
        <v>10</v>
      </c>
      <c r="AM12" s="109" t="s">
        <v>1092</v>
      </c>
      <c r="AN12" s="111" t="s">
        <v>1070</v>
      </c>
      <c r="AO12" s="61" t="s">
        <v>1161</v>
      </c>
      <c r="AP12" s="143">
        <v>4</v>
      </c>
      <c r="AQ12" s="143"/>
      <c r="AR12" s="143"/>
      <c r="AS12" s="143"/>
      <c r="AT12" s="143">
        <v>4</v>
      </c>
      <c r="AU12" s="143" t="str">
        <f>IF(AND(strength&gt;2,stamina&gt;2),"Yes","No")</f>
        <v>No</v>
      </c>
      <c r="AV12" s="143" t="s">
        <v>14</v>
      </c>
      <c r="AW12" s="62">
        <f t="shared" ca="1" si="0"/>
        <v>0</v>
      </c>
      <c r="AX12" s="138" t="s">
        <v>1333</v>
      </c>
      <c r="AY12" s="143" t="s">
        <v>1085</v>
      </c>
      <c r="AZ12" s="143" t="s">
        <v>808</v>
      </c>
      <c r="BA12" s="143" t="s">
        <v>810</v>
      </c>
      <c r="BB12" s="143" t="s">
        <v>262</v>
      </c>
      <c r="BC12" s="143" t="s">
        <v>1334</v>
      </c>
      <c r="BD12" s="143" t="s">
        <v>2232</v>
      </c>
      <c r="BE12" s="62" t="str">
        <f>IF(clan1="Ventrue","Yes","No")</f>
        <v>No</v>
      </c>
      <c r="CC12" s="455"/>
      <c r="CD12" s="451"/>
      <c r="CE12" s="451"/>
      <c r="CF12" s="451"/>
      <c r="CG12" s="451"/>
      <c r="CH12" s="455"/>
      <c r="CI12" s="451"/>
      <c r="CJ12" s="451"/>
      <c r="CK12" s="451"/>
      <c r="CL12" s="453"/>
      <c r="CM12" s="451"/>
      <c r="CN12" s="451"/>
      <c r="CO12" s="451"/>
      <c r="CP12" s="451"/>
      <c r="CQ12" s="451"/>
      <c r="CR12" s="453"/>
    </row>
    <row r="13" spans="2:96" ht="14.25" customHeight="1" thickBot="1" x14ac:dyDescent="0.3">
      <c r="B13" s="535" t="s">
        <v>743</v>
      </c>
      <c r="C13" s="817"/>
      <c r="D13" s="817"/>
      <c r="E13" s="817"/>
      <c r="F13" s="817"/>
      <c r="G13" s="817"/>
      <c r="H13" s="114"/>
      <c r="I13" s="114"/>
      <c r="J13" s="488"/>
      <c r="K13" s="807" t="s">
        <v>754</v>
      </c>
      <c r="L13" s="807"/>
      <c r="M13" s="562"/>
      <c r="N13" s="30"/>
      <c r="P13" s="778" t="s">
        <v>1103</v>
      </c>
      <c r="Q13" s="779"/>
      <c r="R13" s="120">
        <f>R11-R12</f>
        <v>100</v>
      </c>
      <c r="S13" s="121">
        <f>totalxpremaining</f>
        <v>100</v>
      </c>
      <c r="T13" s="784" t="s">
        <v>750</v>
      </c>
      <c r="U13" s="784"/>
      <c r="V13" s="429">
        <f>SUM(F41)</f>
        <v>0</v>
      </c>
      <c r="W13" s="117">
        <f t="shared" si="2"/>
        <v>0</v>
      </c>
      <c r="X13" s="118">
        <f>'XP log'!M504</f>
        <v>0</v>
      </c>
      <c r="Y13" s="119">
        <f t="shared" si="1"/>
        <v>0</v>
      </c>
      <c r="AD13" s="71" t="s">
        <v>803</v>
      </c>
      <c r="AE13" s="71" t="s">
        <v>803</v>
      </c>
      <c r="AF13" s="76" t="s">
        <v>806</v>
      </c>
      <c r="AG13" s="65" t="s">
        <v>815</v>
      </c>
      <c r="AH13" s="107" t="s">
        <v>1071</v>
      </c>
      <c r="AI13" s="110">
        <v>10</v>
      </c>
      <c r="AJ13" s="110">
        <v>10</v>
      </c>
      <c r="AK13" s="110">
        <v>100</v>
      </c>
      <c r="AL13" s="110">
        <v>15</v>
      </c>
      <c r="AM13" s="110" t="s">
        <v>1092</v>
      </c>
      <c r="AN13" s="112" t="s">
        <v>1093</v>
      </c>
      <c r="AO13" s="61" t="s">
        <v>1162</v>
      </c>
      <c r="AP13" s="143" t="s">
        <v>1151</v>
      </c>
      <c r="AQ13" s="143"/>
      <c r="AR13" s="143"/>
      <c r="AS13" s="143"/>
      <c r="AT13" s="143">
        <v>5</v>
      </c>
      <c r="AU13" s="143" t="str">
        <f ca="1">IF(AW129&gt;2,"Yes","No")</f>
        <v>No</v>
      </c>
      <c r="AV13" s="143" t="s">
        <v>14</v>
      </c>
      <c r="AW13" s="62">
        <f t="shared" ca="1" si="0"/>
        <v>0</v>
      </c>
      <c r="AX13" s="138" t="s">
        <v>1299</v>
      </c>
      <c r="AY13" s="143" t="s">
        <v>1081</v>
      </c>
      <c r="AZ13" s="143" t="s">
        <v>208</v>
      </c>
      <c r="BA13" s="143" t="s">
        <v>811</v>
      </c>
      <c r="BB13" s="143" t="s">
        <v>263</v>
      </c>
      <c r="BC13" s="143" t="s">
        <v>1300</v>
      </c>
      <c r="BD13" s="143" t="s">
        <v>2232</v>
      </c>
      <c r="BE13" s="62" t="str">
        <f>IF(clan1="Daeva","Yes","No")</f>
        <v>No</v>
      </c>
      <c r="CC13" s="608" t="s">
        <v>2164</v>
      </c>
      <c r="CD13" s="609"/>
      <c r="CE13" s="609" t="str">
        <f>VLOOKUP(D24,dotchart,4,FALSE)</f>
        <v>O</v>
      </c>
      <c r="CF13" s="609"/>
      <c r="CG13" s="452"/>
      <c r="CH13" s="608" t="s">
        <v>2165</v>
      </c>
      <c r="CI13" s="609"/>
      <c r="CJ13" s="609" t="str">
        <f>VLOOKUP(D29,dotchart,4,FALSE)</f>
        <v>O</v>
      </c>
      <c r="CK13" s="609"/>
      <c r="CL13" s="476"/>
      <c r="CM13" s="608" t="s">
        <v>2166</v>
      </c>
      <c r="CN13" s="609"/>
      <c r="CO13" s="609" t="str">
        <f>VLOOKUP(D34,dotchart,4,FALSE)</f>
        <v>O</v>
      </c>
      <c r="CP13" s="609"/>
      <c r="CQ13" s="609"/>
      <c r="CR13" s="476"/>
    </row>
    <row r="14" spans="2:96" ht="14.25" customHeight="1" thickTop="1" x14ac:dyDescent="0.25">
      <c r="B14" s="535" t="s">
        <v>744</v>
      </c>
      <c r="C14" s="817"/>
      <c r="D14" s="817"/>
      <c r="E14" s="114"/>
      <c r="F14" s="114"/>
      <c r="G14" s="114"/>
      <c r="H14" s="808" t="s">
        <v>755</v>
      </c>
      <c r="I14" s="809"/>
      <c r="J14" s="810"/>
      <c r="K14" s="238"/>
      <c r="L14" s="238"/>
      <c r="M14" s="239"/>
      <c r="N14" s="242"/>
      <c r="P14" s="637" t="s">
        <v>2020</v>
      </c>
      <c r="Q14" s="638"/>
      <c r="R14" s="638"/>
      <c r="S14" s="749"/>
      <c r="T14" s="726" t="s">
        <v>1104</v>
      </c>
      <c r="U14" s="726"/>
      <c r="V14" s="429">
        <f>SUM(F46:F90)</f>
        <v>0</v>
      </c>
      <c r="W14" s="117">
        <f t="shared" si="2"/>
        <v>0</v>
      </c>
      <c r="X14" s="118">
        <f>'XP log'!N504</f>
        <v>0</v>
      </c>
      <c r="Y14" s="119">
        <f t="shared" si="1"/>
        <v>0</v>
      </c>
      <c r="AD14" s="71" t="s">
        <v>804</v>
      </c>
      <c r="AE14" s="71" t="s">
        <v>804</v>
      </c>
      <c r="AF14" s="77" t="s">
        <v>26</v>
      </c>
      <c r="AG14" s="66" t="str">
        <f>CONCATENATE(AG15,AG16,AG17,AG18,AG19,AG20,AG21,AG22,AG23)</f>
        <v/>
      </c>
      <c r="AH14" s="252" t="s">
        <v>1072</v>
      </c>
      <c r="AI14" s="536" t="s">
        <v>763</v>
      </c>
      <c r="AJ14" s="537" t="s">
        <v>1825</v>
      </c>
      <c r="AM14" s="337" t="s">
        <v>1906</v>
      </c>
      <c r="AO14" s="61" t="s">
        <v>1163</v>
      </c>
      <c r="AP14" s="143">
        <v>1</v>
      </c>
      <c r="AQ14" s="143"/>
      <c r="AR14" s="143"/>
      <c r="AS14" s="143"/>
      <c r="AT14" s="143">
        <v>1</v>
      </c>
      <c r="AU14" s="143" t="str">
        <f>IF(AND(dexterity&gt;1,athletics&gt;0),"Yes","No")</f>
        <v>No</v>
      </c>
      <c r="AV14" s="143" t="s">
        <v>14</v>
      </c>
      <c r="AW14" s="62">
        <f t="shared" ca="1" si="0"/>
        <v>0</v>
      </c>
      <c r="AX14" s="138" t="s">
        <v>1301</v>
      </c>
      <c r="AY14" s="143" t="s">
        <v>1081</v>
      </c>
      <c r="AZ14" s="143" t="s">
        <v>809</v>
      </c>
      <c r="BA14" s="143" t="s">
        <v>208</v>
      </c>
      <c r="BB14" s="143" t="s">
        <v>811</v>
      </c>
      <c r="BC14" s="143" t="s">
        <v>263</v>
      </c>
      <c r="BD14" s="143" t="s">
        <v>2232</v>
      </c>
      <c r="BE14" s="62" t="str">
        <f>IF(clan1="Daeva","Yes","No")</f>
        <v>No</v>
      </c>
      <c r="CC14" s="608" t="s">
        <v>2167</v>
      </c>
      <c r="CD14" s="609"/>
      <c r="CE14" s="609" t="str">
        <f>VLOOKUP(D25,dotchart,4,FALSE)</f>
        <v>O</v>
      </c>
      <c r="CF14" s="609"/>
      <c r="CG14" s="452"/>
      <c r="CH14" s="608" t="s">
        <v>2168</v>
      </c>
      <c r="CI14" s="609"/>
      <c r="CJ14" s="609" t="str">
        <f>VLOOKUP(D30,dotchart,4,FALSE)</f>
        <v>O</v>
      </c>
      <c r="CK14" s="609"/>
      <c r="CL14" s="476"/>
      <c r="CM14" s="608" t="s">
        <v>2169</v>
      </c>
      <c r="CN14" s="609"/>
      <c r="CO14" s="609" t="str">
        <f>VLOOKUP(D35,dotchart,4,FALSE)</f>
        <v>O</v>
      </c>
      <c r="CP14" s="609"/>
      <c r="CQ14" s="609"/>
      <c r="CR14" s="476"/>
    </row>
    <row r="15" spans="2:96" ht="14.25" customHeight="1" thickBot="1" x14ac:dyDescent="0.3">
      <c r="B15" s="535" t="s">
        <v>745</v>
      </c>
      <c r="C15" s="817"/>
      <c r="D15" s="817"/>
      <c r="E15" s="114"/>
      <c r="F15" s="114"/>
      <c r="G15" s="114"/>
      <c r="H15" s="811"/>
      <c r="I15" s="812"/>
      <c r="J15" s="813"/>
      <c r="K15" s="240"/>
      <c r="L15" s="240"/>
      <c r="M15" s="241"/>
      <c r="N15" s="538"/>
      <c r="P15" s="639"/>
      <c r="Q15" s="640"/>
      <c r="R15" s="640"/>
      <c r="S15" s="750"/>
      <c r="T15" s="726" t="s">
        <v>1105</v>
      </c>
      <c r="U15" s="726"/>
      <c r="V15" s="429">
        <f>SUM(H39)</f>
        <v>0</v>
      </c>
      <c r="W15" s="117">
        <f t="shared" si="2"/>
        <v>0</v>
      </c>
      <c r="X15" s="118">
        <f>'XP log'!O504</f>
        <v>0</v>
      </c>
      <c r="Y15" s="119">
        <f t="shared" si="1"/>
        <v>0</v>
      </c>
      <c r="AD15" s="74" t="s">
        <v>805</v>
      </c>
      <c r="AE15" s="74" t="s">
        <v>805</v>
      </c>
      <c r="AF15" s="75"/>
      <c r="AG15" s="66" t="str">
        <f t="shared" ref="AG15:AG24" si="3">IF(B195&lt;&gt;"",CONCATENATE(B195,", "),"")</f>
        <v/>
      </c>
      <c r="AH15" s="252" t="s">
        <v>1073</v>
      </c>
      <c r="AI15" s="539" t="s">
        <v>764</v>
      </c>
      <c r="AJ15" s="540">
        <v>6</v>
      </c>
      <c r="AM15" s="338" t="s">
        <v>1907</v>
      </c>
      <c r="AN15" s="266" t="s">
        <v>1710</v>
      </c>
      <c r="AO15" s="143" t="s">
        <v>1164</v>
      </c>
      <c r="AP15" s="143">
        <v>1</v>
      </c>
      <c r="AQ15" s="143"/>
      <c r="AR15" s="143"/>
      <c r="AS15" s="143"/>
      <c r="AT15" s="143">
        <v>1</v>
      </c>
      <c r="AU15" s="143" t="s">
        <v>806</v>
      </c>
      <c r="AV15" s="143" t="s">
        <v>14</v>
      </c>
      <c r="AW15" s="62">
        <f t="shared" ca="1" si="0"/>
        <v>0</v>
      </c>
      <c r="AX15" s="138" t="s">
        <v>1310</v>
      </c>
      <c r="AY15" s="143" t="s">
        <v>1082</v>
      </c>
      <c r="AZ15" s="143" t="s">
        <v>808</v>
      </c>
      <c r="BA15" s="143" t="s">
        <v>814</v>
      </c>
      <c r="BB15" s="143" t="s">
        <v>262</v>
      </c>
      <c r="BC15" s="143" t="s">
        <v>813</v>
      </c>
      <c r="BD15" s="143" t="s">
        <v>2232</v>
      </c>
      <c r="BE15" s="62" t="str">
        <f>IF(clan1="Gangrel","Yes","No")</f>
        <v>No</v>
      </c>
      <c r="CC15" s="611" t="s">
        <v>2170</v>
      </c>
      <c r="CD15" s="612"/>
      <c r="CE15" s="612" t="str">
        <f>VLOOKUP(D26,dotchart,4,FALSE)</f>
        <v>O</v>
      </c>
      <c r="CF15" s="612"/>
      <c r="CG15" s="477"/>
      <c r="CH15" s="611" t="str">
        <f>CONCATENATE("  Stamina",IF(resilience&gt;0,CONCATENATE(" (",stamina-resilience,") "),""))</f>
        <v xml:space="preserve">  Stamina</v>
      </c>
      <c r="CI15" s="612"/>
      <c r="CJ15" s="612" t="str">
        <f>VLOOKUP(D31,dotchart,4,FALSE)</f>
        <v>O</v>
      </c>
      <c r="CK15" s="612"/>
      <c r="CL15" s="478"/>
      <c r="CM15" s="611" t="s">
        <v>2171</v>
      </c>
      <c r="CN15" s="612"/>
      <c r="CO15" s="612" t="str">
        <f>VLOOKUP(D36,dotchart,4,FALSE)</f>
        <v>O</v>
      </c>
      <c r="CP15" s="612"/>
      <c r="CQ15" s="612"/>
      <c r="CR15" s="478"/>
    </row>
    <row r="16" spans="2:96" ht="14.25" customHeight="1" thickBot="1" x14ac:dyDescent="0.3">
      <c r="B16" s="535" t="s">
        <v>746</v>
      </c>
      <c r="C16" s="647"/>
      <c r="D16" s="647"/>
      <c r="E16" s="647"/>
      <c r="F16" s="114"/>
      <c r="G16" s="114"/>
      <c r="H16" s="814"/>
      <c r="I16" s="815"/>
      <c r="J16" s="816"/>
      <c r="K16" s="794" t="s">
        <v>1294</v>
      </c>
      <c r="L16" s="795"/>
      <c r="M16" s="795"/>
      <c r="N16" s="796"/>
      <c r="P16" s="778" t="s">
        <v>2020</v>
      </c>
      <c r="Q16" s="805"/>
      <c r="R16" s="260" t="str">
        <f>IFERROR(VALUE('Appx A Feeding'!AA13),"0")</f>
        <v>0</v>
      </c>
      <c r="S16" s="364"/>
      <c r="T16" s="726" t="s">
        <v>178</v>
      </c>
      <c r="U16" s="726"/>
      <c r="V16" s="429">
        <f>SUM(P60:P74,Q60:Q74,E98:E101,E103:E106,E108:E111,E113:E116,E118:E121,E123:E125,E130:E132,M80:M83,T81:T83,X80:X83)</f>
        <v>0</v>
      </c>
      <c r="W16" s="117">
        <f t="shared" si="2"/>
        <v>0</v>
      </c>
      <c r="X16" s="118">
        <f>'XP log'!P504</f>
        <v>0</v>
      </c>
      <c r="Y16" s="119">
        <f t="shared" si="1"/>
        <v>0</v>
      </c>
      <c r="AD16" s="78" t="s">
        <v>179</v>
      </c>
      <c r="AE16" s="79" t="s">
        <v>2</v>
      </c>
      <c r="AF16" s="80" t="s">
        <v>807</v>
      </c>
      <c r="AG16" s="66" t="str">
        <f t="shared" si="3"/>
        <v/>
      </c>
      <c r="AH16" s="252" t="s">
        <v>1074</v>
      </c>
      <c r="AI16" s="539" t="s">
        <v>765</v>
      </c>
      <c r="AJ16" s="541" t="s">
        <v>1892</v>
      </c>
      <c r="AM16" s="338" t="s">
        <v>1908</v>
      </c>
      <c r="AN16" s="267" t="s">
        <v>1720</v>
      </c>
      <c r="AO16" s="143" t="s">
        <v>1165</v>
      </c>
      <c r="AP16" s="143">
        <v>4</v>
      </c>
      <c r="AQ16" s="143"/>
      <c r="AR16" s="143"/>
      <c r="AS16" s="143"/>
      <c r="AT16" s="143">
        <v>4</v>
      </c>
      <c r="AU16" s="143" t="str">
        <f>IF(politics&gt;2,"Yes","No")</f>
        <v>No</v>
      </c>
      <c r="AV16" s="143" t="s">
        <v>14</v>
      </c>
      <c r="AW16" s="62">
        <f t="shared" ca="1" si="0"/>
        <v>0</v>
      </c>
      <c r="AX16" s="138" t="s">
        <v>1335</v>
      </c>
      <c r="AY16" s="143" t="s">
        <v>1085</v>
      </c>
      <c r="AZ16" s="143" t="s">
        <v>808</v>
      </c>
      <c r="BA16" s="143" t="s">
        <v>810</v>
      </c>
      <c r="BB16" s="143" t="s">
        <v>262</v>
      </c>
      <c r="BC16" s="143" t="s">
        <v>1336</v>
      </c>
      <c r="BD16" s="143" t="s">
        <v>2232</v>
      </c>
      <c r="BE16" s="62" t="str">
        <f>IF(clan1="Ventrue","Yes","No")</f>
        <v>No</v>
      </c>
      <c r="CC16" s="450"/>
      <c r="CD16" s="450"/>
      <c r="CE16" s="450"/>
      <c r="CF16" s="450"/>
      <c r="CG16" s="450"/>
      <c r="CH16" s="450"/>
      <c r="CI16" s="450"/>
      <c r="CJ16" s="450"/>
      <c r="CK16" s="450"/>
      <c r="CL16" s="450"/>
      <c r="CM16" s="450"/>
      <c r="CN16" s="450"/>
      <c r="CO16" s="450"/>
      <c r="CP16" s="450"/>
      <c r="CQ16" s="450"/>
      <c r="CR16" s="450"/>
    </row>
    <row r="17" spans="2:96" ht="14.25" customHeight="1" thickTop="1" x14ac:dyDescent="0.25">
      <c r="B17" s="535" t="s">
        <v>747</v>
      </c>
      <c r="C17" s="647"/>
      <c r="D17" s="647"/>
      <c r="E17" s="647"/>
      <c r="F17" s="820" t="str">
        <f>IFERROR(VLOOKUP(bloodline,BloodlineChart,7,FALSE),"")</f>
        <v/>
      </c>
      <c r="G17" s="821"/>
      <c r="H17" s="808" t="s">
        <v>756</v>
      </c>
      <c r="I17" s="809"/>
      <c r="J17" s="810"/>
      <c r="K17" s="801" t="s">
        <v>1288</v>
      </c>
      <c r="L17" s="802"/>
      <c r="M17" s="803"/>
      <c r="N17" s="804"/>
      <c r="P17" s="778" t="s">
        <v>2021</v>
      </c>
      <c r="Q17" s="779"/>
      <c r="R17" s="399">
        <f>presence+MAX(empathy,socialize)+MAX(animalism,dominate,IF(bloodline="Morotrophian",BloodDis,0))</f>
        <v>1</v>
      </c>
      <c r="S17" s="363"/>
      <c r="T17" s="726" t="s">
        <v>1106</v>
      </c>
      <c r="U17" s="726"/>
      <c r="V17" s="429">
        <f>SUM(Y88:Y133)</f>
        <v>0</v>
      </c>
      <c r="W17" s="117">
        <f t="shared" si="2"/>
        <v>0</v>
      </c>
      <c r="X17" s="118">
        <f>'XP log'!Q504</f>
        <v>0</v>
      </c>
      <c r="Y17" s="119">
        <f t="shared" si="1"/>
        <v>0</v>
      </c>
      <c r="AD17" s="81" t="s">
        <v>808</v>
      </c>
      <c r="AE17" s="82" t="b">
        <f>IF(clan1="Ventrue",5,IF(clan1="Gangrel",5,IF(clan1="Daeva",7,IF(clan1="Nosferatu",7,IF(clan1="Mekhet",7)))))</f>
        <v>0</v>
      </c>
      <c r="AF17" s="83">
        <v>5</v>
      </c>
      <c r="AG17" s="66" t="str">
        <f t="shared" si="3"/>
        <v/>
      </c>
      <c r="AH17" s="252" t="s">
        <v>1075</v>
      </c>
      <c r="AI17" s="539" t="s">
        <v>768</v>
      </c>
      <c r="AJ17" s="542" t="s">
        <v>1893</v>
      </c>
      <c r="AM17" s="338" t="s">
        <v>1909</v>
      </c>
      <c r="AN17" s="267" t="s">
        <v>1712</v>
      </c>
      <c r="AO17" s="143" t="s">
        <v>1167</v>
      </c>
      <c r="AP17" s="143">
        <v>1</v>
      </c>
      <c r="AQ17" s="143"/>
      <c r="AR17" s="143"/>
      <c r="AS17" s="143"/>
      <c r="AT17" s="143">
        <v>1</v>
      </c>
      <c r="AU17" s="143" t="str">
        <f>IF(AND(strength&gt;1,brawl&gt;0),"Yes","No")</f>
        <v>No</v>
      </c>
      <c r="AV17" s="143" t="s">
        <v>14</v>
      </c>
      <c r="AW17" s="62">
        <f t="shared" ca="1" si="0"/>
        <v>0</v>
      </c>
      <c r="AX17" s="138" t="s">
        <v>1313</v>
      </c>
      <c r="AY17" s="143" t="s">
        <v>1083</v>
      </c>
      <c r="AZ17" s="143" t="s">
        <v>809</v>
      </c>
      <c r="BA17" s="143" t="s">
        <v>810</v>
      </c>
      <c r="BB17" s="143" t="s">
        <v>262</v>
      </c>
      <c r="BC17" s="143" t="s">
        <v>1583</v>
      </c>
      <c r="BD17" s="143" t="s">
        <v>2232</v>
      </c>
      <c r="BE17" s="62" t="str">
        <f>IF(clan1="Mekhet","Yes","No")</f>
        <v>No</v>
      </c>
      <c r="CC17" s="480"/>
      <c r="CD17" s="481" t="s">
        <v>1236</v>
      </c>
      <c r="CE17" s="482"/>
      <c r="CF17" s="482"/>
      <c r="CG17" s="483"/>
      <c r="CH17" s="668" t="s">
        <v>2172</v>
      </c>
      <c r="CI17" s="669"/>
      <c r="CJ17" s="669"/>
      <c r="CK17" s="669"/>
      <c r="CL17" s="670"/>
      <c r="CM17" s="666" t="s">
        <v>2173</v>
      </c>
      <c r="CN17" s="667"/>
      <c r="CO17" s="667"/>
      <c r="CP17" s="660" t="s">
        <v>2174</v>
      </c>
      <c r="CQ17" s="660"/>
      <c r="CR17" s="661"/>
    </row>
    <row r="18" spans="2:96" ht="14.25" customHeight="1" x14ac:dyDescent="0.25">
      <c r="B18" s="535" t="s">
        <v>748</v>
      </c>
      <c r="C18" s="647"/>
      <c r="D18" s="647"/>
      <c r="E18" s="647"/>
      <c r="F18" s="820" t="str">
        <f>IF(OR(covenant1="Belials Brood",covenant1="VII"),"ST only","Local")</f>
        <v>Local</v>
      </c>
      <c r="G18" s="821"/>
      <c r="H18" s="811"/>
      <c r="I18" s="812"/>
      <c r="J18" s="813"/>
      <c r="K18" s="801" t="s">
        <v>1289</v>
      </c>
      <c r="L18" s="802"/>
      <c r="M18" s="803"/>
      <c r="N18" s="804"/>
      <c r="P18" s="778" t="s">
        <v>2022</v>
      </c>
      <c r="Q18" s="779"/>
      <c r="R18" s="120">
        <f>wits+MAX(stealth,larceny)+MAX(auspex,celerity)</f>
        <v>1</v>
      </c>
      <c r="S18" s="363"/>
      <c r="T18" s="726" t="s">
        <v>1107</v>
      </c>
      <c r="U18" s="726"/>
      <c r="V18" s="429">
        <f>SUM(G131:G171)</f>
        <v>0</v>
      </c>
      <c r="W18" s="117">
        <f t="shared" si="2"/>
        <v>0</v>
      </c>
      <c r="X18" s="118">
        <f>'XP log'!R504</f>
        <v>0</v>
      </c>
      <c r="Y18" s="119">
        <f t="shared" si="1"/>
        <v>0</v>
      </c>
      <c r="AD18" s="81" t="s">
        <v>809</v>
      </c>
      <c r="AE18" s="82" t="b">
        <f>IF(clan1="Ventrue",7,IF(clan1="Gangrel",7,IF(clan1="Daeva",7,IF(clan1="Nosferatu",7,IF(clan1="Mekhet",5)))))</f>
        <v>0</v>
      </c>
      <c r="AF18" s="83">
        <v>5</v>
      </c>
      <c r="AG18" s="66" t="str">
        <f t="shared" si="3"/>
        <v/>
      </c>
      <c r="AH18" s="252" t="s">
        <v>1076</v>
      </c>
      <c r="AI18" s="539" t="s">
        <v>769</v>
      </c>
      <c r="AM18" s="338" t="s">
        <v>1910</v>
      </c>
      <c r="AN18" s="267" t="s">
        <v>1716</v>
      </c>
      <c r="AO18" s="143" t="s">
        <v>1166</v>
      </c>
      <c r="AP18" s="143">
        <v>2</v>
      </c>
      <c r="AQ18" s="143"/>
      <c r="AR18" s="143"/>
      <c r="AS18" s="143"/>
      <c r="AT18" s="143">
        <v>2</v>
      </c>
      <c r="AU18" s="143" t="s">
        <v>806</v>
      </c>
      <c r="AV18" s="143" t="s">
        <v>14</v>
      </c>
      <c r="AW18" s="62">
        <f t="shared" ca="1" si="0"/>
        <v>0</v>
      </c>
      <c r="AX18" s="138" t="s">
        <v>1337</v>
      </c>
      <c r="AY18" s="143" t="s">
        <v>1085</v>
      </c>
      <c r="AZ18" s="143" t="s">
        <v>809</v>
      </c>
      <c r="BA18" s="143" t="s">
        <v>810</v>
      </c>
      <c r="BB18" s="143" t="s">
        <v>813</v>
      </c>
      <c r="BC18" s="143" t="s">
        <v>262</v>
      </c>
      <c r="BD18" s="143" t="s">
        <v>2232</v>
      </c>
      <c r="BE18" s="62" t="str">
        <f>IF(clan1="Ventrue","Yes","No")</f>
        <v>No</v>
      </c>
      <c r="CC18" s="659" t="str">
        <f>IF(B42&lt;&gt;"",CONCATENATE(B42,""))</f>
        <v>Status ()</v>
      </c>
      <c r="CD18" s="660"/>
      <c r="CE18" s="660"/>
      <c r="CF18" s="660" t="str">
        <f>IF(B42&lt;&gt;"",VLOOKUP(D42,dotchart,4,FALSE),"")</f>
        <v/>
      </c>
      <c r="CG18" s="661"/>
      <c r="CH18" s="660" t="str">
        <f>CONCATENATE("  ",L60)</f>
        <v xml:space="preserve">  Animalism</v>
      </c>
      <c r="CI18" s="660"/>
      <c r="CJ18" s="660"/>
      <c r="CK18" s="660" t="str">
        <f t="shared" ref="CK18:CK27" si="4">VLOOKUP(N60,dotchart,4,FALSE)</f>
        <v/>
      </c>
      <c r="CL18" s="660"/>
      <c r="CM18" s="659" t="str">
        <f>CONCATENATE(" ",L27," ",IF(acaspec&lt;&gt;"",CONCATENATE("(",acaspec,")"),""))</f>
        <v xml:space="preserve"> Academics </v>
      </c>
      <c r="CN18" s="660"/>
      <c r="CO18" s="660"/>
      <c r="CP18" s="660"/>
      <c r="CQ18" s="660" t="str">
        <f t="shared" ref="CQ18:CQ25" si="5">VLOOKUP(N27,dotchart,4,FALSE)</f>
        <v/>
      </c>
      <c r="CR18" s="661"/>
    </row>
    <row r="19" spans="2:96" ht="14.25" customHeight="1" thickBot="1" x14ac:dyDescent="0.3">
      <c r="B19" s="543" t="s">
        <v>749</v>
      </c>
      <c r="C19" s="822"/>
      <c r="D19" s="822"/>
      <c r="E19" s="822"/>
      <c r="F19" s="838" t="str">
        <f>IF(dualcov="","","Genre")</f>
        <v/>
      </c>
      <c r="G19" s="839"/>
      <c r="H19" s="814"/>
      <c r="I19" s="815"/>
      <c r="J19" s="816"/>
      <c r="K19" s="797" t="s">
        <v>1290</v>
      </c>
      <c r="L19" s="798"/>
      <c r="M19" s="799"/>
      <c r="N19" s="800"/>
      <c r="P19" s="778" t="s">
        <v>2023</v>
      </c>
      <c r="Q19" s="779"/>
      <c r="R19" s="120">
        <f>composure+MAX(brawl,streetwise)+MAX(nightmare,obfuscate,IF(bloodline="Noctuku",BloodDis,0))</f>
        <v>1</v>
      </c>
      <c r="S19" s="30"/>
      <c r="T19" s="726" t="s">
        <v>1108</v>
      </c>
      <c r="U19" s="726"/>
      <c r="V19" s="429">
        <f>SUM(F189)</f>
        <v>0</v>
      </c>
      <c r="W19" s="117">
        <f t="shared" si="2"/>
        <v>0</v>
      </c>
      <c r="X19" s="118">
        <f>'XP log'!S504</f>
        <v>0</v>
      </c>
      <c r="Y19" s="119">
        <f t="shared" si="1"/>
        <v>0</v>
      </c>
      <c r="AD19" s="81" t="s">
        <v>208</v>
      </c>
      <c r="AE19" s="82" t="b">
        <f>IF(clan1="Ventrue",7,IF(clan1="Gangrel",7,IF(clan1="Daeva",5,IF(clan1="Nosferatu",7,IF(clan1="Mekhet",5)))))</f>
        <v>0</v>
      </c>
      <c r="AF19" s="83">
        <v>5</v>
      </c>
      <c r="AG19" s="66" t="str">
        <f t="shared" si="3"/>
        <v/>
      </c>
      <c r="AH19" s="253" t="s">
        <v>1077</v>
      </c>
      <c r="AI19" s="539" t="s">
        <v>774</v>
      </c>
      <c r="AM19" s="338" t="s">
        <v>1911</v>
      </c>
      <c r="AN19" s="267" t="s">
        <v>1714</v>
      </c>
      <c r="AO19" s="143" t="s">
        <v>2263</v>
      </c>
      <c r="AP19" s="143">
        <v>3</v>
      </c>
      <c r="AQ19" s="143"/>
      <c r="AR19" s="143"/>
      <c r="AS19" s="143"/>
      <c r="AT19" s="143">
        <v>3</v>
      </c>
      <c r="AU19" s="143" t="str">
        <f>IF(clan1="Daeva","Yes","No")</f>
        <v>No</v>
      </c>
      <c r="AV19" s="143" t="s">
        <v>14</v>
      </c>
      <c r="AW19" s="62">
        <f t="shared" ca="1" si="0"/>
        <v>0</v>
      </c>
      <c r="AX19" s="138" t="s">
        <v>2230</v>
      </c>
      <c r="AY19" s="143" t="s">
        <v>1083</v>
      </c>
      <c r="AZ19" s="143" t="s">
        <v>809</v>
      </c>
      <c r="BA19" s="143" t="s">
        <v>208</v>
      </c>
      <c r="BB19" s="143" t="s">
        <v>813</v>
      </c>
      <c r="BC19" s="143" t="s">
        <v>2231</v>
      </c>
      <c r="BD19" s="143" t="s">
        <v>32</v>
      </c>
      <c r="BE19" s="62" t="str">
        <f>IF(clan1="Mekhet","Yes","No")</f>
        <v>No</v>
      </c>
      <c r="CC19" s="608" t="str">
        <f>IF(B43&lt;&gt;"",CONCATENATE(B43,""))</f>
        <v>Status ()</v>
      </c>
      <c r="CD19" s="609"/>
      <c r="CE19" s="609"/>
      <c r="CF19" s="609" t="str">
        <f>IF(B43&lt;&gt;"",VLOOKUP(D43,dotchart,4,FALSE),"")</f>
        <v/>
      </c>
      <c r="CG19" s="610"/>
      <c r="CH19" s="609" t="str">
        <f t="shared" ref="CH19:CH27" si="6">CONCATENATE("  ",L61)</f>
        <v xml:space="preserve">  Auspex</v>
      </c>
      <c r="CI19" s="609"/>
      <c r="CJ19" s="609"/>
      <c r="CK19" s="609" t="str">
        <f t="shared" si="4"/>
        <v/>
      </c>
      <c r="CL19" s="609"/>
      <c r="CM19" s="608" t="str">
        <f>CONCATENATE(" ",L28," ",IF(compspec&lt;&gt;"",CONCATENATE("(",compspec,")"),""))</f>
        <v xml:space="preserve"> Computer </v>
      </c>
      <c r="CN19" s="609"/>
      <c r="CO19" s="609"/>
      <c r="CP19" s="609"/>
      <c r="CQ19" s="609" t="str">
        <f t="shared" si="5"/>
        <v/>
      </c>
      <c r="CR19" s="610"/>
    </row>
    <row r="20" spans="2:96" ht="14.25" customHeight="1" thickTop="1" thickBot="1" x14ac:dyDescent="0.3">
      <c r="P20" s="778" t="s">
        <v>2024</v>
      </c>
      <c r="Q20" s="779"/>
      <c r="R20" s="120">
        <f>manipulation+MAX(intimidation,persuasion)+MAX(majesty,vigor,IF(OR(bloodline="Duchagne",bloodline="Anvari"),BloodDis,0))</f>
        <v>1</v>
      </c>
      <c r="S20" s="30"/>
      <c r="T20" s="726" t="s">
        <v>778</v>
      </c>
      <c r="U20" s="726"/>
      <c r="V20" s="429">
        <f>SUM(F192)</f>
        <v>0</v>
      </c>
      <c r="W20" s="117">
        <f t="shared" si="2"/>
        <v>0</v>
      </c>
      <c r="X20" s="118">
        <f>'XP log'!T504</f>
        <v>0</v>
      </c>
      <c r="Y20" s="119">
        <f t="shared" si="1"/>
        <v>0</v>
      </c>
      <c r="AD20" s="81" t="s">
        <v>810</v>
      </c>
      <c r="AE20" s="82" t="b">
        <f>IF(clan1="Ventrue",5,IF(clan1="Gangrel",7,IF(clan1="Daeva",7,IF(clan1="Nosferatu",7,IF(clan1="Mekhet",7)))))</f>
        <v>0</v>
      </c>
      <c r="AF20" s="83">
        <v>5</v>
      </c>
      <c r="AG20" s="66" t="str">
        <f t="shared" si="3"/>
        <v/>
      </c>
      <c r="AH20" s="253" t="s">
        <v>1078</v>
      </c>
      <c r="AI20" s="539" t="s">
        <v>772</v>
      </c>
      <c r="AM20" s="338" t="s">
        <v>1912</v>
      </c>
      <c r="AN20" s="267" t="s">
        <v>1726</v>
      </c>
      <c r="AO20" s="143" t="s">
        <v>2264</v>
      </c>
      <c r="AP20" s="143">
        <v>5</v>
      </c>
      <c r="AQ20" s="143"/>
      <c r="AR20" s="143"/>
      <c r="AS20" s="143"/>
      <c r="AT20" s="143">
        <v>5</v>
      </c>
      <c r="AU20" s="143" t="str">
        <f>IF(clan1="Daeva","Yes","No")</f>
        <v>No</v>
      </c>
      <c r="AV20" s="143" t="s">
        <v>14</v>
      </c>
      <c r="AW20" s="62">
        <f t="shared" ca="1" si="0"/>
        <v>0</v>
      </c>
      <c r="AX20" s="138" t="s">
        <v>1321</v>
      </c>
      <c r="AY20" s="143" t="s">
        <v>1083</v>
      </c>
      <c r="AZ20" s="143" t="s">
        <v>809</v>
      </c>
      <c r="BA20" s="143" t="s">
        <v>208</v>
      </c>
      <c r="BB20" s="143" t="s">
        <v>813</v>
      </c>
      <c r="BC20" s="143" t="s">
        <v>1322</v>
      </c>
      <c r="BD20" s="143" t="s">
        <v>2232</v>
      </c>
      <c r="BE20" s="62" t="str">
        <f>IF(clan1="Mekhet","Yes","No")</f>
        <v>No</v>
      </c>
      <c r="CC20" s="608" t="str">
        <f t="shared" ref="CC20:CC21" si="7">IF(B44&lt;&gt;"",CONCATENATE(B44,""))</f>
        <v>Status (Enter City)</v>
      </c>
      <c r="CD20" s="609"/>
      <c r="CE20" s="609"/>
      <c r="CF20" s="609" t="str">
        <f>IF(B44&lt;&gt;"",VLOOKUP(D44,dotchart,4,FALSE),"")</f>
        <v/>
      </c>
      <c r="CG20" s="610"/>
      <c r="CH20" s="609" t="str">
        <f t="shared" si="6"/>
        <v xml:space="preserve">  Celerity</v>
      </c>
      <c r="CI20" s="609"/>
      <c r="CJ20" s="609"/>
      <c r="CK20" s="609" t="str">
        <f t="shared" si="4"/>
        <v/>
      </c>
      <c r="CL20" s="609"/>
      <c r="CM20" s="608" t="str">
        <f>CONCATENATE(" ",L29," ",IF(craftspec&lt;&gt;"",CONCATENATE("(",craftspec,")"),""))</f>
        <v xml:space="preserve"> Craft </v>
      </c>
      <c r="CN20" s="609"/>
      <c r="CO20" s="609"/>
      <c r="CP20" s="609"/>
      <c r="CQ20" s="609" t="str">
        <f t="shared" si="5"/>
        <v/>
      </c>
      <c r="CR20" s="610"/>
    </row>
    <row r="21" spans="2:96" ht="14.25" customHeight="1" thickTop="1" thickBot="1" x14ac:dyDescent="0.3">
      <c r="B21" s="637" t="s">
        <v>757</v>
      </c>
      <c r="C21" s="638"/>
      <c r="D21" s="638"/>
      <c r="E21" s="27"/>
      <c r="F21" s="27"/>
      <c r="G21" s="27"/>
      <c r="H21" s="27"/>
      <c r="I21" s="28"/>
      <c r="P21" s="778" t="s">
        <v>2025</v>
      </c>
      <c r="Q21" s="779"/>
      <c r="R21" s="120">
        <f>stamina+MAX(athletics,survival)+MAX(protean,resilience)</f>
        <v>1</v>
      </c>
      <c r="S21" s="30"/>
      <c r="T21" s="726" t="s">
        <v>1109</v>
      </c>
      <c r="U21" s="726"/>
      <c r="V21" s="429">
        <f>SUM(P139:P144,V139:V144)</f>
        <v>0</v>
      </c>
      <c r="W21" s="117">
        <f t="shared" si="2"/>
        <v>0</v>
      </c>
      <c r="X21" s="118">
        <f>'XP log'!U504</f>
        <v>0</v>
      </c>
      <c r="Y21" s="119">
        <f t="shared" si="1"/>
        <v>0</v>
      </c>
      <c r="AD21" s="81" t="s">
        <v>811</v>
      </c>
      <c r="AE21" s="82" t="b">
        <f>IF(clan1="Ventrue",7,IF(clan1="Gangrel",7,IF(clan1="Daeva",5,IF(clan1="Nosferatu",7,IF(clan1="Mekhet",7)))))</f>
        <v>0</v>
      </c>
      <c r="AF21" s="83">
        <v>5</v>
      </c>
      <c r="AG21" s="66" t="str">
        <f t="shared" si="3"/>
        <v/>
      </c>
      <c r="AH21" s="254" t="s">
        <v>1079</v>
      </c>
      <c r="AI21" s="539" t="s">
        <v>773</v>
      </c>
      <c r="AM21" s="338" t="s">
        <v>1913</v>
      </c>
      <c r="AN21" s="267" t="s">
        <v>1724</v>
      </c>
      <c r="AO21" s="143" t="s">
        <v>2233</v>
      </c>
      <c r="AP21" s="143">
        <v>2</v>
      </c>
      <c r="AQ21" s="143"/>
      <c r="AR21" s="143"/>
      <c r="AS21" s="143"/>
      <c r="AT21" s="143">
        <v>2</v>
      </c>
      <c r="AU21" s="143" t="str">
        <f>IF(AND(covenant1="Carthian",academics&gt;0),"Yes","No")</f>
        <v>No</v>
      </c>
      <c r="AV21" s="143" t="s">
        <v>14</v>
      </c>
      <c r="AW21" s="62">
        <f t="shared" ca="1" si="0"/>
        <v>0</v>
      </c>
      <c r="AX21" s="138" t="s">
        <v>1325</v>
      </c>
      <c r="AY21" s="143" t="s">
        <v>1084</v>
      </c>
      <c r="AZ21" s="143" t="s">
        <v>812</v>
      </c>
      <c r="BA21" s="143" t="s">
        <v>813</v>
      </c>
      <c r="BB21" s="143" t="s">
        <v>263</v>
      </c>
      <c r="BC21" s="143" t="s">
        <v>1326</v>
      </c>
      <c r="BD21" s="143" t="s">
        <v>2232</v>
      </c>
      <c r="BE21" s="62" t="str">
        <f>IF(clan1="Nosferatu","Yes","No")</f>
        <v>No</v>
      </c>
      <c r="CC21" s="611" t="str">
        <f t="shared" si="7"/>
        <v>Status ()</v>
      </c>
      <c r="CD21" s="612"/>
      <c r="CE21" s="612"/>
      <c r="CF21" s="612" t="str">
        <f>IF(B45&lt;&gt;"",VLOOKUP(D45,dotchart,4,FALSE),"")</f>
        <v/>
      </c>
      <c r="CG21" s="613"/>
      <c r="CH21" s="609" t="str">
        <f t="shared" si="6"/>
        <v xml:space="preserve">  Dominate</v>
      </c>
      <c r="CI21" s="609"/>
      <c r="CJ21" s="609"/>
      <c r="CK21" s="609" t="str">
        <f t="shared" si="4"/>
        <v/>
      </c>
      <c r="CL21" s="609"/>
      <c r="CM21" s="608" t="str">
        <f>CONCATENATE(" ",L30," ",IF(invspec&lt;&gt;"",CONCATENATE("(",invspec,")"),""))</f>
        <v xml:space="preserve"> Investigation </v>
      </c>
      <c r="CN21" s="609"/>
      <c r="CO21" s="609"/>
      <c r="CP21" s="609"/>
      <c r="CQ21" s="609" t="str">
        <f t="shared" si="5"/>
        <v/>
      </c>
      <c r="CR21" s="610"/>
    </row>
    <row r="22" spans="2:96" ht="14.25" customHeight="1" thickBot="1" x14ac:dyDescent="0.3">
      <c r="B22" s="639"/>
      <c r="C22" s="640"/>
      <c r="D22" s="640"/>
      <c r="E22" s="783" t="s">
        <v>758</v>
      </c>
      <c r="F22" s="783"/>
      <c r="G22" s="783"/>
      <c r="H22" s="29"/>
      <c r="I22" s="30"/>
      <c r="P22" s="48"/>
      <c r="Q22" s="49"/>
      <c r="R22" s="49"/>
      <c r="S22" s="135"/>
      <c r="T22" s="782" t="s">
        <v>2084</v>
      </c>
      <c r="U22" s="782"/>
      <c r="V22" s="124" t="s">
        <v>12</v>
      </c>
      <c r="W22" s="125" t="s">
        <v>12</v>
      </c>
      <c r="X22" s="427">
        <f>'XP log'!V504</f>
        <v>0</v>
      </c>
      <c r="Y22" s="126">
        <f>IFERROR(X22/totalxpearned,"0")</f>
        <v>0</v>
      </c>
      <c r="AD22" s="81" t="s">
        <v>812</v>
      </c>
      <c r="AE22" s="82" t="b">
        <f>IF(clan1="Ventrue",7,IF(clan1="Gangrel",7,IF(clan1="Daeva",7,IF(clan1="Nosferatu",5,IF(clan1="Mekhet",7)))))</f>
        <v>0</v>
      </c>
      <c r="AF22" s="83">
        <v>5</v>
      </c>
      <c r="AG22" s="66" t="str">
        <f t="shared" si="3"/>
        <v/>
      </c>
      <c r="AI22" s="544" t="s">
        <v>774</v>
      </c>
      <c r="AM22" s="338" t="s">
        <v>1914</v>
      </c>
      <c r="AN22" s="267" t="s">
        <v>1722</v>
      </c>
      <c r="AO22" s="143" t="s">
        <v>1822</v>
      </c>
      <c r="AP22" s="143" t="s">
        <v>1151</v>
      </c>
      <c r="AQ22" s="143"/>
      <c r="AR22" s="143"/>
      <c r="AS22" s="143"/>
      <c r="AT22" s="143">
        <v>5</v>
      </c>
      <c r="AU22" s="143" t="str">
        <f>IF(covenant1="Carthian Movement","Yes","No")</f>
        <v>No</v>
      </c>
      <c r="AV22" s="143" t="s">
        <v>14</v>
      </c>
      <c r="AW22" s="62">
        <f t="shared" ca="1" si="0"/>
        <v>0</v>
      </c>
      <c r="AX22" s="138" t="s">
        <v>1294</v>
      </c>
      <c r="AY22" s="143" t="s">
        <v>1295</v>
      </c>
      <c r="AZ22" s="143" t="str">
        <f>IF(bloodline="Mortifiers of the Flesh",M20,"")</f>
        <v/>
      </c>
      <c r="BA22" s="143" t="str">
        <f>IF(bloodline="Mortifiers of the Flesh",M21,"")</f>
        <v/>
      </c>
      <c r="BB22" s="143" t="str">
        <f>IF(bloodline="Mortifiers of the Flesh",M22,"")</f>
        <v/>
      </c>
      <c r="BC22" s="143" t="s">
        <v>1296</v>
      </c>
      <c r="BD22" s="143" t="s">
        <v>2232</v>
      </c>
      <c r="BE22" s="62" t="str">
        <f>IF(OR(clan1="Gangrel",clan1="Nosferatu",clan1="mekhet",clan1="Ventrue",clan1="Daeva"),"Yes","No")</f>
        <v>No</v>
      </c>
      <c r="CC22" s="449"/>
      <c r="CD22" s="484" t="s">
        <v>1104</v>
      </c>
      <c r="CE22" s="459"/>
      <c r="CF22" s="459"/>
      <c r="CG22" s="459"/>
      <c r="CH22" s="608" t="str">
        <f t="shared" si="6"/>
        <v xml:space="preserve">  Majesty</v>
      </c>
      <c r="CI22" s="609"/>
      <c r="CJ22" s="609"/>
      <c r="CK22" s="609" t="str">
        <f t="shared" si="4"/>
        <v/>
      </c>
      <c r="CL22" s="609"/>
      <c r="CM22" s="608" t="str">
        <f>CONCATENATE(" ",L31," ",IF(medspec&lt;&gt;"",CONCATENATE("(",medspec,")"),""))</f>
        <v xml:space="preserve"> Medicine </v>
      </c>
      <c r="CN22" s="609"/>
      <c r="CO22" s="609"/>
      <c r="CP22" s="609"/>
      <c r="CQ22" s="609" t="str">
        <f t="shared" si="5"/>
        <v/>
      </c>
      <c r="CR22" s="610"/>
    </row>
    <row r="23" spans="2:96" ht="14.25" customHeight="1" thickBot="1" x14ac:dyDescent="0.3">
      <c r="B23" s="415" t="s">
        <v>759</v>
      </c>
      <c r="C23" s="419"/>
      <c r="D23" s="31"/>
      <c r="E23" s="32" t="s">
        <v>760</v>
      </c>
      <c r="F23" s="32" t="s">
        <v>761</v>
      </c>
      <c r="G23" s="33" t="s">
        <v>8</v>
      </c>
      <c r="H23" s="818" t="s">
        <v>762</v>
      </c>
      <c r="I23" s="819"/>
      <c r="AD23" s="81" t="s">
        <v>813</v>
      </c>
      <c r="AE23" s="82" t="b">
        <f>IF(clan1="Ventrue",7,IF(clan1="Gangrel",7,IF(clan1="Daeva",7,IF(clan1="Nosferatu",5,IF(clan1="Mekhet",5)))))</f>
        <v>0</v>
      </c>
      <c r="AF23" s="83">
        <v>5</v>
      </c>
      <c r="AG23" s="66" t="str">
        <f t="shared" si="3"/>
        <v/>
      </c>
      <c r="AM23" s="338" t="s">
        <v>1915</v>
      </c>
      <c r="AN23" s="267" t="s">
        <v>1718</v>
      </c>
      <c r="AO23" s="143" t="s">
        <v>2234</v>
      </c>
      <c r="AP23" s="143" t="s">
        <v>1151</v>
      </c>
      <c r="AQ23" s="143"/>
      <c r="AR23" s="143"/>
      <c r="AS23" s="143"/>
      <c r="AT23" s="143">
        <v>5</v>
      </c>
      <c r="AU23" s="143" t="str">
        <f ca="1">IF(AND(covenant1="Carthian Movement",D42&lt;=AW23),"Yes","No")</f>
        <v>No</v>
      </c>
      <c r="AV23" s="143" t="s">
        <v>14</v>
      </c>
      <c r="AW23" s="62">
        <f t="shared" ca="1" si="0"/>
        <v>0</v>
      </c>
      <c r="AX23" s="138" t="s">
        <v>1302</v>
      </c>
      <c r="AY23" s="143" t="s">
        <v>1081</v>
      </c>
      <c r="AZ23" s="143" t="s">
        <v>208</v>
      </c>
      <c r="BA23" s="143" t="s">
        <v>811</v>
      </c>
      <c r="BB23" s="143" t="s">
        <v>812</v>
      </c>
      <c r="BC23" s="143" t="s">
        <v>263</v>
      </c>
      <c r="BD23" s="143" t="s">
        <v>2232</v>
      </c>
      <c r="BE23" s="62" t="str">
        <f>IF(clan1="Daeva","Yes","No")</f>
        <v>No</v>
      </c>
      <c r="CC23" s="659" t="str">
        <f t="shared" ref="CC23:CC54" si="8">IF(B46&lt;&gt;"",IF(VLOOKUP(B46,MeritTable,3,TRUE)="Share",CONCATENATE(B46," (",AL46,")"),B46),"")</f>
        <v/>
      </c>
      <c r="CD23" s="660"/>
      <c r="CE23" s="660"/>
      <c r="CF23" s="660" t="str">
        <f t="shared" ref="CF23:CF54" si="9">IF(B46&lt;&gt;"",VLOOKUP(D46,dotchart,4,FALSE),"")</f>
        <v/>
      </c>
      <c r="CG23" s="661"/>
      <c r="CH23" s="609" t="str">
        <f t="shared" si="6"/>
        <v xml:space="preserve">  Nightmare</v>
      </c>
      <c r="CI23" s="609"/>
      <c r="CJ23" s="609"/>
      <c r="CK23" s="609" t="str">
        <f t="shared" si="4"/>
        <v/>
      </c>
      <c r="CL23" s="609"/>
      <c r="CM23" s="608" t="str">
        <f>CONCATENATE(" ",L32," ",IF(occspec&lt;&gt;"",CONCATENATE("(",occspec,")"),""))</f>
        <v xml:space="preserve"> Occult </v>
      </c>
      <c r="CN23" s="609"/>
      <c r="CO23" s="609"/>
      <c r="CP23" s="609"/>
      <c r="CQ23" s="609" t="str">
        <f t="shared" si="5"/>
        <v/>
      </c>
      <c r="CR23" s="610"/>
    </row>
    <row r="24" spans="2:96" ht="14.25" customHeight="1" thickTop="1" thickBot="1" x14ac:dyDescent="0.3">
      <c r="B24" s="778" t="s">
        <v>763</v>
      </c>
      <c r="C24" s="805"/>
      <c r="D24" s="34">
        <f>VLOOKUP((((VLOOKUP(((IF(E24=5,4,IF(E24=4,0,E24)))+1+F24),mult_chart,2,FALSE)*5)+G24)/5),mult_chart2,2,TRUE)</f>
        <v>1</v>
      </c>
      <c r="E24" s="35"/>
      <c r="F24" s="36"/>
      <c r="G24" s="37"/>
      <c r="H24" s="38">
        <f>IF((D24)&lt;(VLOOKUP(BP,bpchart,2,FALSE)),((D24+1)*5),0)</f>
        <v>10</v>
      </c>
      <c r="I24" s="39">
        <f>H24+G24</f>
        <v>10</v>
      </c>
      <c r="L24" s="637" t="s">
        <v>1100</v>
      </c>
      <c r="M24" s="638"/>
      <c r="N24" s="638"/>
      <c r="O24" s="638"/>
      <c r="P24" s="27"/>
      <c r="Q24" s="27"/>
      <c r="R24" s="27"/>
      <c r="S24" s="27"/>
      <c r="T24" s="27"/>
      <c r="U24" s="27"/>
      <c r="V24" s="27"/>
      <c r="W24" s="27"/>
      <c r="X24" s="27"/>
      <c r="Y24" s="28"/>
      <c r="AD24" s="81" t="s">
        <v>814</v>
      </c>
      <c r="AE24" s="82" t="b">
        <f>IF(clan1="Ventrue",7,IF(clan1="Gangrel",5,IF(clan1="Daeva",7,IF(clan1="Nosferatu",7,IF(clan1="Mekhet",7)))))</f>
        <v>0</v>
      </c>
      <c r="AF24" s="83">
        <v>5</v>
      </c>
      <c r="AG24" s="564" t="str">
        <f t="shared" si="3"/>
        <v/>
      </c>
      <c r="AH24" s="568"/>
      <c r="AI24" s="569"/>
      <c r="AJ24" s="569"/>
      <c r="AK24" s="569"/>
      <c r="AM24" s="338" t="s">
        <v>1916</v>
      </c>
      <c r="AN24" s="267" t="s">
        <v>1636</v>
      </c>
      <c r="AO24" s="143" t="s">
        <v>1255</v>
      </c>
      <c r="AP24" s="143" t="s">
        <v>1151</v>
      </c>
      <c r="AQ24" s="143"/>
      <c r="AR24" s="143"/>
      <c r="AS24" s="143"/>
      <c r="AT24" s="143">
        <v>3</v>
      </c>
      <c r="AU24" s="143" t="str">
        <f>IF(clan1="Daeva","Yes","No")</f>
        <v>No</v>
      </c>
      <c r="AV24" s="143" t="s">
        <v>14</v>
      </c>
      <c r="AW24" s="62">
        <f t="shared" ca="1" si="0"/>
        <v>0</v>
      </c>
      <c r="AX24" s="138" t="s">
        <v>1327</v>
      </c>
      <c r="AY24" s="143" t="s">
        <v>1084</v>
      </c>
      <c r="AZ24" s="143" t="s">
        <v>812</v>
      </c>
      <c r="BA24" s="143" t="s">
        <v>813</v>
      </c>
      <c r="BB24" s="143" t="s">
        <v>263</v>
      </c>
      <c r="BC24" s="143" t="s">
        <v>1328</v>
      </c>
      <c r="BD24" s="143" t="s">
        <v>2232</v>
      </c>
      <c r="BE24" s="62" t="str">
        <f>IF(clan1="Nosferatu","Yes","No")</f>
        <v>No</v>
      </c>
      <c r="CC24" s="608" t="str">
        <f t="shared" si="8"/>
        <v/>
      </c>
      <c r="CD24" s="609"/>
      <c r="CE24" s="609"/>
      <c r="CF24" s="609" t="str">
        <f t="shared" si="9"/>
        <v/>
      </c>
      <c r="CG24" s="610"/>
      <c r="CH24" s="609" t="str">
        <f t="shared" si="6"/>
        <v xml:space="preserve">  Obfuscate</v>
      </c>
      <c r="CI24" s="609"/>
      <c r="CJ24" s="609"/>
      <c r="CK24" s="609" t="str">
        <f t="shared" si="4"/>
        <v/>
      </c>
      <c r="CL24" s="609"/>
      <c r="CM24" s="608" t="str">
        <f>CONCATENATE(" ",L33," ",IF(polspec&lt;&gt;"",CONCATENATE("(",polspec,")"),""))</f>
        <v xml:space="preserve"> Politics </v>
      </c>
      <c r="CN24" s="609"/>
      <c r="CO24" s="609"/>
      <c r="CP24" s="609"/>
      <c r="CQ24" s="609" t="str">
        <f t="shared" si="5"/>
        <v/>
      </c>
      <c r="CR24" s="610"/>
    </row>
    <row r="25" spans="2:96" ht="14.25" customHeight="1" thickBot="1" x14ac:dyDescent="0.3">
      <c r="B25" s="778" t="s">
        <v>764</v>
      </c>
      <c r="C25" s="805"/>
      <c r="D25" s="34">
        <f>VLOOKUP((((VLOOKUP(((IF(E25=5,4,IF(E25=4,0,E25)))+1+F25),mult_chart,2,FALSE)*5)+G25)/5),mult_chart2,2,TRUE)</f>
        <v>1</v>
      </c>
      <c r="E25" s="35"/>
      <c r="F25" s="36"/>
      <c r="G25" s="37"/>
      <c r="H25" s="38">
        <f>IF((D25)&lt;(VLOOKUP(BP,bpchart,2,FALSE)),((D25+1)*5),0)</f>
        <v>10</v>
      </c>
      <c r="I25" s="39">
        <f>H25+G25</f>
        <v>10</v>
      </c>
      <c r="L25" s="639"/>
      <c r="M25" s="640"/>
      <c r="N25" s="640"/>
      <c r="O25" s="640"/>
      <c r="P25" s="783" t="s">
        <v>758</v>
      </c>
      <c r="Q25" s="783"/>
      <c r="R25" s="783"/>
      <c r="S25" s="29"/>
      <c r="T25" s="114"/>
      <c r="U25" s="114"/>
      <c r="V25" s="114"/>
      <c r="W25" s="114"/>
      <c r="X25" s="788" t="s">
        <v>1110</v>
      </c>
      <c r="Y25" s="789"/>
      <c r="AD25" s="81" t="s">
        <v>262</v>
      </c>
      <c r="AE25" s="82" t="b">
        <f>IF(clan1="Ventrue",5,IF(clan1="Gangrel",5,IF(clan1="Daeva",7,IF(clan1="Nosferatu",7,IF(clan1="Mekhet",7)))))</f>
        <v>0</v>
      </c>
      <c r="AF25" s="83">
        <v>5</v>
      </c>
      <c r="AG25" s="137" t="s">
        <v>1080</v>
      </c>
      <c r="AH25" s="565" t="s">
        <v>1288</v>
      </c>
      <c r="AI25" s="566" t="s">
        <v>1289</v>
      </c>
      <c r="AJ25" s="566" t="s">
        <v>1290</v>
      </c>
      <c r="AK25" s="567" t="s">
        <v>1291</v>
      </c>
      <c r="AM25" s="338" t="s">
        <v>1917</v>
      </c>
      <c r="AN25" s="267" t="s">
        <v>1659</v>
      </c>
      <c r="AO25" s="143" t="s">
        <v>2235</v>
      </c>
      <c r="AP25" s="143">
        <v>1</v>
      </c>
      <c r="AQ25" s="143"/>
      <c r="AR25" s="143"/>
      <c r="AS25" s="143"/>
      <c r="AT25" s="143">
        <v>1</v>
      </c>
      <c r="AU25" s="143" t="str">
        <f>IF(covenant1="Carthian Movement","Yes","No")</f>
        <v>No</v>
      </c>
      <c r="AV25" s="143" t="s">
        <v>14</v>
      </c>
      <c r="AW25" s="62">
        <f t="shared" ca="1" si="0"/>
        <v>0</v>
      </c>
      <c r="AX25" s="138" t="s">
        <v>1314</v>
      </c>
      <c r="AY25" s="143" t="s">
        <v>1083</v>
      </c>
      <c r="AZ25" s="143" t="s">
        <v>809</v>
      </c>
      <c r="BA25" s="143" t="s">
        <v>813</v>
      </c>
      <c r="BB25" s="143" t="s">
        <v>263</v>
      </c>
      <c r="BC25" s="143" t="s">
        <v>1315</v>
      </c>
      <c r="BD25" s="143" t="s">
        <v>2232</v>
      </c>
      <c r="BE25" s="62" t="str">
        <f>IF(clan1="Mekhet","Yes","No")</f>
        <v>No</v>
      </c>
      <c r="CC25" s="608" t="str">
        <f t="shared" si="8"/>
        <v/>
      </c>
      <c r="CD25" s="609"/>
      <c r="CE25" s="609"/>
      <c r="CF25" s="609" t="str">
        <f t="shared" si="9"/>
        <v/>
      </c>
      <c r="CG25" s="610"/>
      <c r="CH25" s="609" t="str">
        <f t="shared" si="6"/>
        <v xml:space="preserve">  Protean</v>
      </c>
      <c r="CI25" s="609"/>
      <c r="CJ25" s="609"/>
      <c r="CK25" s="609" t="str">
        <f t="shared" si="4"/>
        <v/>
      </c>
      <c r="CL25" s="609"/>
      <c r="CM25" s="611" t="str">
        <f>CONCATENATE(" ",L34," ",IF(scispec&lt;&gt;"",CONCATENATE("(",scispec,")"),""))</f>
        <v xml:space="preserve"> Science </v>
      </c>
      <c r="CN25" s="612"/>
      <c r="CO25" s="612"/>
      <c r="CP25" s="612"/>
      <c r="CQ25" s="612" t="str">
        <f t="shared" si="5"/>
        <v/>
      </c>
      <c r="CR25" s="613"/>
    </row>
    <row r="26" spans="2:96" ht="14.25" customHeight="1" x14ac:dyDescent="0.25">
      <c r="B26" s="778" t="s">
        <v>765</v>
      </c>
      <c r="C26" s="805"/>
      <c r="D26" s="34">
        <f>VLOOKUP((((VLOOKUP(((IF(E26=5,4,IF(E26=4,0,E26)))+1+F26),mult_chart,2,FALSE)*5)+G26)/5),mult_chart2,2,TRUE)</f>
        <v>1</v>
      </c>
      <c r="E26" s="35"/>
      <c r="F26" s="36"/>
      <c r="G26" s="37"/>
      <c r="H26" s="38">
        <f>IF((D26)&lt;(VLOOKUP(BP,bpchart,2,FALSE)),((D26+1)*5),0)</f>
        <v>10</v>
      </c>
      <c r="I26" s="39">
        <f>H26+G26</f>
        <v>10</v>
      </c>
      <c r="L26" s="738" t="s">
        <v>759</v>
      </c>
      <c r="M26" s="739"/>
      <c r="N26" s="127"/>
      <c r="O26" s="424" t="s">
        <v>760</v>
      </c>
      <c r="P26" s="424" t="s">
        <v>8</v>
      </c>
      <c r="Q26" s="792" t="s">
        <v>762</v>
      </c>
      <c r="R26" s="769"/>
      <c r="S26" s="793" t="s">
        <v>1111</v>
      </c>
      <c r="T26" s="792"/>
      <c r="U26" s="792"/>
      <c r="V26" s="792"/>
      <c r="W26" s="424" t="s">
        <v>760</v>
      </c>
      <c r="X26" s="790"/>
      <c r="Y26" s="791"/>
      <c r="AD26" s="84" t="s">
        <v>263</v>
      </c>
      <c r="AE26" s="85" t="b">
        <f>IF(clan1="Ventrue",7,IF(clan1="Gangrel",7,IF(clan1="Daeva",5,IF(clan1="Nosferatu",5,IF(clan1="Mekhet",7)))))</f>
        <v>0</v>
      </c>
      <c r="AF26" s="86">
        <v>5</v>
      </c>
      <c r="AG26" s="138" t="s">
        <v>1081</v>
      </c>
      <c r="AH26" s="61" t="s">
        <v>208</v>
      </c>
      <c r="AI26" s="143" t="s">
        <v>811</v>
      </c>
      <c r="AJ26" s="143" t="s">
        <v>263</v>
      </c>
      <c r="AK26" s="62"/>
      <c r="AM26" s="338" t="s">
        <v>1918</v>
      </c>
      <c r="AN26" s="267" t="s">
        <v>1680</v>
      </c>
      <c r="AO26" s="143" t="s">
        <v>1168</v>
      </c>
      <c r="AP26" s="143">
        <v>2</v>
      </c>
      <c r="AQ26" s="143"/>
      <c r="AR26" s="143"/>
      <c r="AS26" s="143"/>
      <c r="AT26" s="143">
        <v>2</v>
      </c>
      <c r="AU26" s="143" t="s">
        <v>806</v>
      </c>
      <c r="AV26" s="143" t="s">
        <v>14</v>
      </c>
      <c r="AW26" s="62">
        <f t="shared" ca="1" si="0"/>
        <v>0</v>
      </c>
      <c r="AX26" s="138" t="s">
        <v>1329</v>
      </c>
      <c r="AY26" s="143" t="s">
        <v>1084</v>
      </c>
      <c r="AZ26" s="143" t="s">
        <v>812</v>
      </c>
      <c r="BA26" s="143" t="s">
        <v>813</v>
      </c>
      <c r="BB26" s="143" t="s">
        <v>262</v>
      </c>
      <c r="BC26" s="143" t="s">
        <v>263</v>
      </c>
      <c r="BD26" s="143" t="s">
        <v>2232</v>
      </c>
      <c r="BE26" s="62" t="str">
        <f>IF(clan1="Nosferatu","Yes","No")</f>
        <v>No</v>
      </c>
      <c r="CC26" s="608" t="str">
        <f t="shared" si="8"/>
        <v/>
      </c>
      <c r="CD26" s="609"/>
      <c r="CE26" s="609"/>
      <c r="CF26" s="609" t="str">
        <f t="shared" si="9"/>
        <v/>
      </c>
      <c r="CG26" s="610"/>
      <c r="CH26" s="609" t="str">
        <f t="shared" si="6"/>
        <v xml:space="preserve">  Resilience</v>
      </c>
      <c r="CI26" s="609"/>
      <c r="CJ26" s="609"/>
      <c r="CK26" s="609" t="str">
        <f t="shared" si="4"/>
        <v/>
      </c>
      <c r="CL26" s="610"/>
      <c r="CM26" s="657" t="s">
        <v>2175</v>
      </c>
      <c r="CN26" s="657"/>
      <c r="CO26" s="657"/>
      <c r="CP26" s="609" t="s">
        <v>2176</v>
      </c>
      <c r="CQ26" s="609"/>
      <c r="CR26" s="610"/>
    </row>
    <row r="27" spans="2:96" ht="14.25" customHeight="1" x14ac:dyDescent="0.25">
      <c r="B27" s="418"/>
      <c r="C27" s="419"/>
      <c r="D27" s="422"/>
      <c r="E27" s="40">
        <f>(IF(attpriority=1,5,IF(attpriority=2,5,IF(attpriority=4,4,IF(attpriority=5,4,IF(attpriority=3,3,IF(attpriority=6,3,0)))))))-SUM(E24:E26)</f>
        <v>0</v>
      </c>
      <c r="F27" s="41" t="s">
        <v>766</v>
      </c>
      <c r="G27" s="41"/>
      <c r="H27" s="41"/>
      <c r="I27" s="42"/>
      <c r="L27" s="773" t="s">
        <v>1112</v>
      </c>
      <c r="M27" s="774"/>
      <c r="N27" s="128">
        <f>VLOOKUP((((VLOOKUP(IF(O27=6,5,IF(O27=5,0,O27)),mult_chart,2,FALSE)*3)+P27)/3),mult_chart2,2,TRUE)</f>
        <v>0</v>
      </c>
      <c r="O27" s="35"/>
      <c r="P27" s="37"/>
      <c r="Q27" s="38">
        <f>IF(N27&lt;(VLOOKUP(BP,bpchart,2,FALSE)),((N27+1)*3),0)</f>
        <v>3</v>
      </c>
      <c r="R27" s="38">
        <f>Q27+P27</f>
        <v>3</v>
      </c>
      <c r="S27" s="765"/>
      <c r="T27" s="766"/>
      <c r="U27" s="766"/>
      <c r="V27" s="767"/>
      <c r="W27" s="129"/>
      <c r="X27" s="37"/>
      <c r="Y27" s="130">
        <f>X27/3+W27</f>
        <v>0</v>
      </c>
      <c r="AD27" s="87" t="s">
        <v>816</v>
      </c>
      <c r="AE27" s="88" t="s">
        <v>817</v>
      </c>
      <c r="AF27" s="88" t="s">
        <v>816</v>
      </c>
      <c r="AG27" s="138" t="s">
        <v>1082</v>
      </c>
      <c r="AH27" s="61" t="s">
        <v>808</v>
      </c>
      <c r="AI27" s="143" t="s">
        <v>814</v>
      </c>
      <c r="AJ27" s="143" t="s">
        <v>262</v>
      </c>
      <c r="AK27" s="62"/>
      <c r="AM27" s="338" t="s">
        <v>1919</v>
      </c>
      <c r="AN27" s="267" t="s">
        <v>1696</v>
      </c>
      <c r="AO27" s="143" t="s">
        <v>1170</v>
      </c>
      <c r="AP27" s="143">
        <v>4</v>
      </c>
      <c r="AQ27" s="143"/>
      <c r="AR27" s="143"/>
      <c r="AS27" s="143"/>
      <c r="AT27" s="143">
        <v>4</v>
      </c>
      <c r="AU27" s="143" t="s">
        <v>806</v>
      </c>
      <c r="AV27" s="143" t="s">
        <v>14</v>
      </c>
      <c r="AW27" s="62">
        <f t="shared" ca="1" si="0"/>
        <v>0</v>
      </c>
      <c r="AX27" s="138" t="s">
        <v>1316</v>
      </c>
      <c r="AY27" s="143" t="s">
        <v>1083</v>
      </c>
      <c r="AZ27" s="143" t="s">
        <v>809</v>
      </c>
      <c r="BA27" s="143" t="s">
        <v>208</v>
      </c>
      <c r="BB27" s="143" t="s">
        <v>813</v>
      </c>
      <c r="BC27" s="143" t="s">
        <v>1317</v>
      </c>
      <c r="BD27" s="143" t="s">
        <v>2232</v>
      </c>
      <c r="BE27" s="62" t="str">
        <f>IF(clan1="Mekhet","Yes","No")</f>
        <v>No</v>
      </c>
      <c r="CC27" s="608" t="str">
        <f t="shared" si="8"/>
        <v/>
      </c>
      <c r="CD27" s="609"/>
      <c r="CE27" s="609"/>
      <c r="CF27" s="609" t="str">
        <f t="shared" si="9"/>
        <v/>
      </c>
      <c r="CG27" s="610"/>
      <c r="CH27" s="609" t="str">
        <f t="shared" si="6"/>
        <v xml:space="preserve">  Vigor</v>
      </c>
      <c r="CI27" s="609"/>
      <c r="CJ27" s="609"/>
      <c r="CK27" s="609" t="str">
        <f t="shared" si="4"/>
        <v/>
      </c>
      <c r="CL27" s="609"/>
      <c r="CM27" s="659" t="str">
        <f>CONCATENATE(" ",L37," ",IF(athspec&lt;&gt;"",CONCATENATE("(",athspec,")"),""))</f>
        <v xml:space="preserve"> Athletics </v>
      </c>
      <c r="CN27" s="660"/>
      <c r="CO27" s="660"/>
      <c r="CP27" s="660"/>
      <c r="CQ27" s="660" t="str">
        <f t="shared" ref="CQ27:CQ34" si="10">VLOOKUP(N37,dotchart,4,FALSE)</f>
        <v/>
      </c>
      <c r="CR27" s="661"/>
    </row>
    <row r="28" spans="2:96" ht="14.25" customHeight="1" x14ac:dyDescent="0.25">
      <c r="B28" s="412" t="s">
        <v>767</v>
      </c>
      <c r="C28" s="414"/>
      <c r="D28" s="421"/>
      <c r="E28" s="43"/>
      <c r="F28" s="43"/>
      <c r="G28" s="43"/>
      <c r="H28" s="43"/>
      <c r="I28" s="44"/>
      <c r="L28" s="773" t="s">
        <v>1113</v>
      </c>
      <c r="M28" s="774"/>
      <c r="N28" s="128">
        <f t="shared" ref="N28:N34" si="11">VLOOKUP((((VLOOKUP(IF(O28=6,5,IF(O28=5,0,O28)),mult_chart,2,FALSE)*3)+P28)/3),mult_chart2,2,TRUE)</f>
        <v>0</v>
      </c>
      <c r="O28" s="35"/>
      <c r="P28" s="37"/>
      <c r="Q28" s="38">
        <f t="shared" ref="Q28:Q34" si="12">IF(N28&lt;(VLOOKUP(BP,bpchart,2,FALSE)),((N28+1)*3),0)</f>
        <v>3</v>
      </c>
      <c r="R28" s="38">
        <f t="shared" ref="R28:R34" si="13">Q28+P28</f>
        <v>3</v>
      </c>
      <c r="S28" s="765"/>
      <c r="T28" s="766"/>
      <c r="U28" s="766"/>
      <c r="V28" s="767"/>
      <c r="W28" s="129"/>
      <c r="X28" s="37"/>
      <c r="Y28" s="130">
        <f t="shared" ref="Y28:Y34" si="14">X28/3+W28</f>
        <v>0</v>
      </c>
      <c r="AD28" s="89">
        <v>0</v>
      </c>
      <c r="AE28" s="90">
        <v>0</v>
      </c>
      <c r="AF28" s="90">
        <v>0</v>
      </c>
      <c r="AG28" s="138" t="s">
        <v>1083</v>
      </c>
      <c r="AH28" s="61" t="s">
        <v>809</v>
      </c>
      <c r="AI28" s="143" t="s">
        <v>208</v>
      </c>
      <c r="AJ28" s="143" t="s">
        <v>813</v>
      </c>
      <c r="AK28" s="62"/>
      <c r="AM28" s="338" t="s">
        <v>1920</v>
      </c>
      <c r="AN28" s="267" t="s">
        <v>2314</v>
      </c>
      <c r="AO28" s="143" t="s">
        <v>1169</v>
      </c>
      <c r="AP28" s="143">
        <v>4</v>
      </c>
      <c r="AQ28" s="143"/>
      <c r="AR28" s="143"/>
      <c r="AS28" s="143"/>
      <c r="AT28" s="143">
        <v>4</v>
      </c>
      <c r="AU28" s="143" t="s">
        <v>806</v>
      </c>
      <c r="AV28" s="143" t="s">
        <v>14</v>
      </c>
      <c r="AW28" s="62">
        <f t="shared" ca="1" si="0"/>
        <v>0</v>
      </c>
      <c r="AX28" s="138" t="s">
        <v>1318</v>
      </c>
      <c r="AY28" s="143" t="s">
        <v>1083</v>
      </c>
      <c r="AZ28" s="143" t="s">
        <v>809</v>
      </c>
      <c r="BA28" s="143" t="s">
        <v>208</v>
      </c>
      <c r="BB28" s="143" t="s">
        <v>811</v>
      </c>
      <c r="BC28" s="143" t="s">
        <v>813</v>
      </c>
      <c r="BD28" s="143" t="s">
        <v>2232</v>
      </c>
      <c r="BE28" s="62" t="str">
        <f>IF(clan1="Mekhet","Yes","No")</f>
        <v>No</v>
      </c>
      <c r="CC28" s="608" t="str">
        <f t="shared" si="8"/>
        <v/>
      </c>
      <c r="CD28" s="609"/>
      <c r="CE28" s="609"/>
      <c r="CF28" s="609" t="str">
        <f t="shared" si="9"/>
        <v/>
      </c>
      <c r="CG28" s="610"/>
      <c r="CH28" s="609" t="str">
        <f>CONCATENATE("  ",L72)</f>
        <v xml:space="preserve">  </v>
      </c>
      <c r="CI28" s="609"/>
      <c r="CJ28" s="609"/>
      <c r="CK28" s="609" t="str">
        <f>VLOOKUP(N72,dotchart,4,FALSE)</f>
        <v/>
      </c>
      <c r="CL28" s="609"/>
      <c r="CM28" s="608" t="str">
        <f>CONCATENATE(" ",L38," ",IF(brawlspec&lt;&gt;"",CONCATENATE("(",brawlspec,")"),""))</f>
        <v xml:space="preserve"> Brawl </v>
      </c>
      <c r="CN28" s="609"/>
      <c r="CO28" s="609"/>
      <c r="CP28" s="609"/>
      <c r="CQ28" s="609" t="str">
        <f t="shared" si="10"/>
        <v/>
      </c>
      <c r="CR28" s="610"/>
    </row>
    <row r="29" spans="2:96" ht="14.25" customHeight="1" x14ac:dyDescent="0.25">
      <c r="B29" s="778" t="s">
        <v>768</v>
      </c>
      <c r="C29" s="805"/>
      <c r="D29" s="34">
        <f>VLOOKUP((((VLOOKUP(((IF(E29=5,4,IF(E29=4,0,E29)))+1+F29),mult_chart,2,FALSE)*5)+G29)/5),mult_chart2,2,TRUE)</f>
        <v>1</v>
      </c>
      <c r="E29" s="35"/>
      <c r="F29" s="36"/>
      <c r="G29" s="37"/>
      <c r="H29" s="38">
        <f>IF((D29)&lt;(VLOOKUP(BP,bpchart,2,FALSE)),((D29+1)*5),0)</f>
        <v>10</v>
      </c>
      <c r="I29" s="39">
        <f>H29+G29</f>
        <v>10</v>
      </c>
      <c r="L29" s="773" t="s">
        <v>1114</v>
      </c>
      <c r="M29" s="774"/>
      <c r="N29" s="128">
        <f t="shared" si="11"/>
        <v>0</v>
      </c>
      <c r="O29" s="35"/>
      <c r="P29" s="37"/>
      <c r="Q29" s="38">
        <f t="shared" si="12"/>
        <v>3</v>
      </c>
      <c r="R29" s="38">
        <f t="shared" si="13"/>
        <v>3</v>
      </c>
      <c r="S29" s="765"/>
      <c r="T29" s="766"/>
      <c r="U29" s="766"/>
      <c r="V29" s="767"/>
      <c r="W29" s="129"/>
      <c r="X29" s="37"/>
      <c r="Y29" s="130">
        <f t="shared" si="14"/>
        <v>0</v>
      </c>
      <c r="AD29" s="89">
        <v>1</v>
      </c>
      <c r="AE29" s="90">
        <v>1</v>
      </c>
      <c r="AF29" s="90">
        <v>1</v>
      </c>
      <c r="AG29" s="138" t="s">
        <v>1084</v>
      </c>
      <c r="AH29" s="61" t="s">
        <v>812</v>
      </c>
      <c r="AI29" s="143" t="s">
        <v>813</v>
      </c>
      <c r="AJ29" s="143" t="s">
        <v>263</v>
      </c>
      <c r="AK29" s="62"/>
      <c r="AM29" s="338" t="s">
        <v>1921</v>
      </c>
      <c r="AN29" s="267" t="s">
        <v>1698</v>
      </c>
      <c r="AO29" s="143" t="s">
        <v>1171</v>
      </c>
      <c r="AP29" s="143" t="s">
        <v>1151</v>
      </c>
      <c r="AQ29" s="143"/>
      <c r="AR29" s="143" t="str">
        <f>IF(covenant1="Carthian Movement","Yes","")</f>
        <v/>
      </c>
      <c r="AS29" s="143"/>
      <c r="AT29" s="143">
        <v>1</v>
      </c>
      <c r="AU29" s="143" t="s">
        <v>806</v>
      </c>
      <c r="AV29" s="143" t="s">
        <v>14</v>
      </c>
      <c r="AW29" s="62">
        <f t="shared" ca="1" si="0"/>
        <v>0</v>
      </c>
      <c r="AX29" s="138" t="s">
        <v>1330</v>
      </c>
      <c r="AY29" s="143" t="s">
        <v>1084</v>
      </c>
      <c r="AZ29" s="143" t="s">
        <v>812</v>
      </c>
      <c r="BA29" s="143" t="s">
        <v>813</v>
      </c>
      <c r="BB29" s="143" t="s">
        <v>814</v>
      </c>
      <c r="BC29" s="143" t="s">
        <v>263</v>
      </c>
      <c r="BD29" s="143" t="s">
        <v>2232</v>
      </c>
      <c r="BE29" s="62" t="str">
        <f>IF(clan1="Nosferatu","Yes","No")</f>
        <v>No</v>
      </c>
      <c r="CC29" s="608" t="str">
        <f t="shared" si="8"/>
        <v/>
      </c>
      <c r="CD29" s="609"/>
      <c r="CE29" s="609"/>
      <c r="CF29" s="609" t="str">
        <f t="shared" si="9"/>
        <v/>
      </c>
      <c r="CG29" s="610"/>
      <c r="CH29" s="609"/>
      <c r="CI29" s="609"/>
      <c r="CJ29" s="609"/>
      <c r="CK29" s="609" t="str">
        <f>VLOOKUP(N73,dotchart,4,FALSE)</f>
        <v/>
      </c>
      <c r="CL29" s="609"/>
      <c r="CM29" s="608" t="str">
        <f>CONCATENATE(" ",L39," ",IF(drispec&lt;&gt;"",CONCATENATE("(",drispec,")"),""))</f>
        <v xml:space="preserve"> Drive </v>
      </c>
      <c r="CN29" s="609"/>
      <c r="CO29" s="609"/>
      <c r="CP29" s="609"/>
      <c r="CQ29" s="609" t="str">
        <f t="shared" si="10"/>
        <v/>
      </c>
      <c r="CR29" s="610"/>
    </row>
    <row r="30" spans="2:96" ht="14.25" customHeight="1" x14ac:dyDescent="0.25">
      <c r="B30" s="778" t="s">
        <v>769</v>
      </c>
      <c r="C30" s="805"/>
      <c r="D30" s="34">
        <f>VLOOKUP((((VLOOKUP(((IF(E30=5,4,IF(E30=4,0,E30)))+1+F30),mult_chart,2,FALSE)*5)+G30)/5),mult_chart2,2,TRUE)</f>
        <v>1</v>
      </c>
      <c r="E30" s="35"/>
      <c r="F30" s="36"/>
      <c r="G30" s="37"/>
      <c r="H30" s="38">
        <f>IF((D30)&lt;(VLOOKUP(BP,bpchart,2,FALSE)),((D30+1)*5),0)</f>
        <v>10</v>
      </c>
      <c r="I30" s="39">
        <f>H30+G30</f>
        <v>10</v>
      </c>
      <c r="L30" s="773" t="s">
        <v>1115</v>
      </c>
      <c r="M30" s="774"/>
      <c r="N30" s="128">
        <f t="shared" si="11"/>
        <v>0</v>
      </c>
      <c r="O30" s="35"/>
      <c r="P30" s="37"/>
      <c r="Q30" s="38">
        <f t="shared" si="12"/>
        <v>3</v>
      </c>
      <c r="R30" s="38">
        <f t="shared" si="13"/>
        <v>3</v>
      </c>
      <c r="S30" s="765"/>
      <c r="T30" s="766"/>
      <c r="U30" s="766"/>
      <c r="V30" s="767"/>
      <c r="W30" s="129"/>
      <c r="X30" s="37"/>
      <c r="Y30" s="130">
        <f t="shared" si="14"/>
        <v>0</v>
      </c>
      <c r="AD30" s="90">
        <v>2</v>
      </c>
      <c r="AE30" s="90">
        <v>3</v>
      </c>
      <c r="AF30" s="90">
        <v>2</v>
      </c>
      <c r="AG30" s="139" t="s">
        <v>1085</v>
      </c>
      <c r="AH30" s="72" t="s">
        <v>808</v>
      </c>
      <c r="AI30" s="162" t="s">
        <v>810</v>
      </c>
      <c r="AJ30" s="143" t="s">
        <v>262</v>
      </c>
      <c r="AK30" s="62"/>
      <c r="AM30" s="338" t="s">
        <v>1922</v>
      </c>
      <c r="AN30" s="267" t="s">
        <v>1638</v>
      </c>
      <c r="AO30" s="143" t="s">
        <v>2236</v>
      </c>
      <c r="AP30" s="143">
        <v>1</v>
      </c>
      <c r="AQ30" s="143"/>
      <c r="AR30" s="143"/>
      <c r="AS30" s="143"/>
      <c r="AT30" s="143">
        <v>1</v>
      </c>
      <c r="AU30" s="143" t="str">
        <f>IF(AND(covenant1="Carthian",politics&gt;1),"Yes","No")</f>
        <v>No</v>
      </c>
      <c r="AV30" s="143" t="s">
        <v>14</v>
      </c>
      <c r="AW30" s="62">
        <f t="shared" ca="1" si="0"/>
        <v>0</v>
      </c>
      <c r="AX30" s="138" t="s">
        <v>1311</v>
      </c>
      <c r="AY30" s="143" t="s">
        <v>1082</v>
      </c>
      <c r="AZ30" s="143" t="s">
        <v>808</v>
      </c>
      <c r="BA30" s="143" t="s">
        <v>810</v>
      </c>
      <c r="BB30" s="143" t="s">
        <v>814</v>
      </c>
      <c r="BC30" s="143" t="s">
        <v>262</v>
      </c>
      <c r="BD30" s="143" t="s">
        <v>2232</v>
      </c>
      <c r="BE30" s="62" t="str">
        <f>IF(clan1="Gangrel","Yes","No")</f>
        <v>No</v>
      </c>
      <c r="CC30" s="608" t="str">
        <f t="shared" si="8"/>
        <v/>
      </c>
      <c r="CD30" s="609"/>
      <c r="CE30" s="609"/>
      <c r="CF30" s="609" t="str">
        <f t="shared" si="9"/>
        <v/>
      </c>
      <c r="CG30" s="610"/>
      <c r="CH30" s="609"/>
      <c r="CI30" s="609"/>
      <c r="CJ30" s="609"/>
      <c r="CK30" s="609"/>
      <c r="CL30" s="609"/>
      <c r="CM30" s="608" t="str">
        <f>CONCATENATE(" ",L40," ",IF(firespec&lt;&gt;"",CONCATENATE("(",firespec,")"),""))</f>
        <v xml:space="preserve"> Firearms </v>
      </c>
      <c r="CN30" s="609"/>
      <c r="CO30" s="609"/>
      <c r="CP30" s="609"/>
      <c r="CQ30" s="609" t="str">
        <f t="shared" si="10"/>
        <v/>
      </c>
      <c r="CR30" s="610"/>
    </row>
    <row r="31" spans="2:96" ht="14.25" customHeight="1" x14ac:dyDescent="0.25">
      <c r="B31" s="778" t="s">
        <v>770</v>
      </c>
      <c r="C31" s="805"/>
      <c r="D31" s="34">
        <f>VLOOKUP((((VLOOKUP(((IF(E31=5,4,IF(E31=4,0,E31)))+1+F31),mult_chart,2,FALSE)*5)+G31)/5),mult_chart2,2,TRUE)</f>
        <v>1</v>
      </c>
      <c r="E31" s="35"/>
      <c r="F31" s="36"/>
      <c r="G31" s="37"/>
      <c r="H31" s="38">
        <f>IF((D31)&lt;(VLOOKUP(BP,bpchart,2,FALSE)),((D31+1)*5),0)</f>
        <v>10</v>
      </c>
      <c r="I31" s="39">
        <f>H31+G31</f>
        <v>10</v>
      </c>
      <c r="L31" s="773" t="s">
        <v>1116</v>
      </c>
      <c r="M31" s="774"/>
      <c r="N31" s="128">
        <f t="shared" si="11"/>
        <v>0</v>
      </c>
      <c r="O31" s="35"/>
      <c r="P31" s="37"/>
      <c r="Q31" s="38">
        <f t="shared" si="12"/>
        <v>3</v>
      </c>
      <c r="R31" s="38">
        <f t="shared" si="13"/>
        <v>3</v>
      </c>
      <c r="S31" s="765"/>
      <c r="T31" s="766"/>
      <c r="U31" s="766"/>
      <c r="V31" s="767"/>
      <c r="W31" s="129"/>
      <c r="X31" s="37"/>
      <c r="Y31" s="130">
        <f t="shared" si="14"/>
        <v>0</v>
      </c>
      <c r="AD31" s="90">
        <v>3</v>
      </c>
      <c r="AE31" s="90">
        <v>6</v>
      </c>
      <c r="AF31" s="90">
        <v>3</v>
      </c>
      <c r="AG31" s="546" t="s">
        <v>1582</v>
      </c>
      <c r="AH31" s="545" t="s">
        <v>12</v>
      </c>
      <c r="AJ31" s="576" t="s">
        <v>1080</v>
      </c>
      <c r="AK31" s="577" t="s">
        <v>2220</v>
      </c>
      <c r="AL31" s="578" t="s">
        <v>2221</v>
      </c>
      <c r="AM31" s="339" t="s">
        <v>1923</v>
      </c>
      <c r="AN31" s="267" t="s">
        <v>1662</v>
      </c>
      <c r="AO31" s="143" t="s">
        <v>1172</v>
      </c>
      <c r="AP31" s="143">
        <v>2</v>
      </c>
      <c r="AQ31" s="143"/>
      <c r="AR31" s="143"/>
      <c r="AS31" s="143"/>
      <c r="AT31" s="143">
        <v>2</v>
      </c>
      <c r="AU31" s="143" t="s">
        <v>806</v>
      </c>
      <c r="AV31" s="143" t="s">
        <v>14</v>
      </c>
      <c r="AW31" s="62">
        <f t="shared" ca="1" si="0"/>
        <v>0</v>
      </c>
      <c r="AX31" s="138" t="s">
        <v>1338</v>
      </c>
      <c r="AY31" s="143" t="s">
        <v>1085</v>
      </c>
      <c r="AZ31" s="143" t="s">
        <v>808</v>
      </c>
      <c r="BA31" s="143" t="s">
        <v>810</v>
      </c>
      <c r="BB31" s="143" t="s">
        <v>814</v>
      </c>
      <c r="BC31" s="143" t="s">
        <v>262</v>
      </c>
      <c r="BD31" s="143" t="s">
        <v>2232</v>
      </c>
      <c r="BE31" s="62" t="str">
        <f>IF(clan1="Ventrue","Yes","No")</f>
        <v>No</v>
      </c>
      <c r="CC31" s="608" t="str">
        <f t="shared" si="8"/>
        <v/>
      </c>
      <c r="CD31" s="609"/>
      <c r="CE31" s="609"/>
      <c r="CF31" s="609" t="str">
        <f t="shared" si="9"/>
        <v/>
      </c>
      <c r="CG31" s="610"/>
      <c r="CH31" s="609" t="str">
        <f>CONCATENATE("  ",L70)</f>
        <v xml:space="preserve">  Breath Drinking</v>
      </c>
      <c r="CI31" s="609"/>
      <c r="CJ31" s="609"/>
      <c r="CK31" s="609" t="str">
        <f>VLOOKUP(N70,dotchart,4,FALSE)</f>
        <v/>
      </c>
      <c r="CL31" s="609"/>
      <c r="CM31" s="608" t="str">
        <f>CONCATENATE(" ",L41," ",IF(larcspec&lt;&gt;"",CONCATENATE("(",larcspec,")"),""))</f>
        <v xml:space="preserve"> Larceny </v>
      </c>
      <c r="CN31" s="609"/>
      <c r="CO31" s="609"/>
      <c r="CP31" s="609"/>
      <c r="CQ31" s="609" t="str">
        <f t="shared" si="10"/>
        <v/>
      </c>
      <c r="CR31" s="610"/>
    </row>
    <row r="32" spans="2:96" ht="14.25" customHeight="1" x14ac:dyDescent="0.2">
      <c r="B32" s="418"/>
      <c r="C32" s="419"/>
      <c r="D32" s="45"/>
      <c r="E32" s="40">
        <f>(IF(attpriority=5,5,IF(attpriority=6,5,IF(attpriority=2,4,IF(attpriority=3,4,IF(attpriority=4,3,IF(attpriority=1,3,0)))))))-SUM(E29:E31)</f>
        <v>0</v>
      </c>
      <c r="F32" s="41" t="s">
        <v>766</v>
      </c>
      <c r="G32" s="41"/>
      <c r="H32" s="41"/>
      <c r="I32" s="42"/>
      <c r="L32" s="773" t="s">
        <v>1117</v>
      </c>
      <c r="M32" s="774"/>
      <c r="N32" s="128">
        <f t="shared" si="11"/>
        <v>0</v>
      </c>
      <c r="O32" s="35"/>
      <c r="P32" s="37"/>
      <c r="Q32" s="38">
        <f t="shared" si="12"/>
        <v>3</v>
      </c>
      <c r="R32" s="38">
        <f t="shared" si="13"/>
        <v>3</v>
      </c>
      <c r="S32" s="765"/>
      <c r="T32" s="766"/>
      <c r="U32" s="766"/>
      <c r="V32" s="767"/>
      <c r="W32" s="129"/>
      <c r="X32" s="37"/>
      <c r="Y32" s="130">
        <f t="shared" si="14"/>
        <v>0</v>
      </c>
      <c r="AD32" s="90">
        <v>4</v>
      </c>
      <c r="AE32" s="90">
        <v>10</v>
      </c>
      <c r="AF32" s="90">
        <v>4</v>
      </c>
      <c r="AG32" s="549">
        <v>3</v>
      </c>
      <c r="AH32" s="547" t="s">
        <v>1582</v>
      </c>
      <c r="AJ32" s="570" t="s">
        <v>1081</v>
      </c>
      <c r="AK32" s="571" t="s">
        <v>769</v>
      </c>
      <c r="AL32" s="572" t="s">
        <v>773</v>
      </c>
      <c r="AM32" s="340" t="s">
        <v>1924</v>
      </c>
      <c r="AN32" s="267" t="s">
        <v>1641</v>
      </c>
      <c r="AO32" s="143" t="s">
        <v>1173</v>
      </c>
      <c r="AP32" s="143">
        <v>1</v>
      </c>
      <c r="AQ32" s="143"/>
      <c r="AR32" s="143"/>
      <c r="AS32" s="143"/>
      <c r="AT32" s="143">
        <v>1</v>
      </c>
      <c r="AU32" s="143" t="s">
        <v>806</v>
      </c>
      <c r="AV32" s="143" t="s">
        <v>14</v>
      </c>
      <c r="AW32" s="62">
        <f t="shared" ca="1" si="0"/>
        <v>0</v>
      </c>
      <c r="AX32" s="138" t="s">
        <v>1339</v>
      </c>
      <c r="AY32" s="143" t="s">
        <v>1085</v>
      </c>
      <c r="AZ32" s="143" t="s">
        <v>808</v>
      </c>
      <c r="BA32" s="143" t="s">
        <v>810</v>
      </c>
      <c r="BB32" s="143" t="s">
        <v>262</v>
      </c>
      <c r="BC32" s="143" t="s">
        <v>1340</v>
      </c>
      <c r="BD32" s="143" t="s">
        <v>2232</v>
      </c>
      <c r="BE32" s="62" t="str">
        <f>IF(clan1="Ventrue","Yes","No")</f>
        <v>No</v>
      </c>
      <c r="CC32" s="608" t="str">
        <f t="shared" si="8"/>
        <v/>
      </c>
      <c r="CD32" s="609"/>
      <c r="CE32" s="609"/>
      <c r="CF32" s="609" t="str">
        <f t="shared" si="9"/>
        <v/>
      </c>
      <c r="CG32" s="610"/>
      <c r="CH32" s="609" t="str">
        <f>CONCATENATE("  ",L71)</f>
        <v xml:space="preserve">  Spoiling</v>
      </c>
      <c r="CI32" s="609"/>
      <c r="CJ32" s="609"/>
      <c r="CK32" s="609" t="str">
        <f>VLOOKUP(N71,dotchart,4,FALSE)</f>
        <v/>
      </c>
      <c r="CL32" s="609"/>
      <c r="CM32" s="608" t="str">
        <f>CONCATENATE(" ",L42," ",IF(stealthspec&lt;&gt;"",CONCATENATE("(",stealthspec,")"),""))</f>
        <v xml:space="preserve"> Stealth </v>
      </c>
      <c r="CN32" s="609"/>
      <c r="CO32" s="609"/>
      <c r="CP32" s="609"/>
      <c r="CQ32" s="609" t="str">
        <f t="shared" si="10"/>
        <v/>
      </c>
      <c r="CR32" s="610"/>
    </row>
    <row r="33" spans="2:96" ht="14.25" customHeight="1" x14ac:dyDescent="0.2">
      <c r="B33" s="415" t="s">
        <v>771</v>
      </c>
      <c r="C33" s="419"/>
      <c r="D33" s="45"/>
      <c r="E33" s="46"/>
      <c r="F33" s="46"/>
      <c r="G33" s="46"/>
      <c r="H33" s="46"/>
      <c r="I33" s="47"/>
      <c r="L33" s="773" t="s">
        <v>1118</v>
      </c>
      <c r="M33" s="774"/>
      <c r="N33" s="128">
        <f t="shared" si="11"/>
        <v>0</v>
      </c>
      <c r="O33" s="35"/>
      <c r="P33" s="37"/>
      <c r="Q33" s="38">
        <f t="shared" si="12"/>
        <v>3</v>
      </c>
      <c r="R33" s="38">
        <f t="shared" si="13"/>
        <v>3</v>
      </c>
      <c r="S33" s="765"/>
      <c r="T33" s="766"/>
      <c r="U33" s="766"/>
      <c r="V33" s="767"/>
      <c r="W33" s="129"/>
      <c r="X33" s="37"/>
      <c r="Y33" s="130">
        <f t="shared" si="14"/>
        <v>0</v>
      </c>
      <c r="AD33" s="90">
        <v>5</v>
      </c>
      <c r="AE33" s="90">
        <v>15</v>
      </c>
      <c r="AF33" s="90">
        <v>5</v>
      </c>
      <c r="AG33" s="551"/>
      <c r="AH33" s="550">
        <v>3</v>
      </c>
      <c r="AJ33" s="570" t="s">
        <v>1082</v>
      </c>
      <c r="AK33" s="571" t="s">
        <v>774</v>
      </c>
      <c r="AL33" s="572" t="s">
        <v>770</v>
      </c>
      <c r="AM33" s="341" t="s">
        <v>1925</v>
      </c>
      <c r="AN33" s="267" t="s">
        <v>1728</v>
      </c>
      <c r="AO33" s="143" t="s">
        <v>2237</v>
      </c>
      <c r="AP33" s="143">
        <v>1</v>
      </c>
      <c r="AQ33" s="143"/>
      <c r="AR33" s="143"/>
      <c r="AS33" s="143"/>
      <c r="AT33" s="143">
        <v>1</v>
      </c>
      <c r="AU33" s="143" t="str">
        <f>IF(AND(covenant1="Carthian",persuasion&gt;1),"Yes","No")</f>
        <v>No</v>
      </c>
      <c r="AV33" s="143" t="s">
        <v>14</v>
      </c>
      <c r="AW33" s="62">
        <f t="shared" ca="1" si="0"/>
        <v>0</v>
      </c>
      <c r="AX33" s="138" t="s">
        <v>1303</v>
      </c>
      <c r="AY33" s="143" t="s">
        <v>1081</v>
      </c>
      <c r="AZ33" s="143" t="s">
        <v>208</v>
      </c>
      <c r="BA33" s="143" t="s">
        <v>811</v>
      </c>
      <c r="BB33" s="143" t="s">
        <v>263</v>
      </c>
      <c r="BC33" s="143" t="s">
        <v>1304</v>
      </c>
      <c r="BD33" s="143" t="s">
        <v>2232</v>
      </c>
      <c r="BE33" s="62" t="str">
        <f>IF(clan1="Daeva","Yes","No")</f>
        <v>No</v>
      </c>
      <c r="CC33" s="608" t="str">
        <f t="shared" si="8"/>
        <v/>
      </c>
      <c r="CD33" s="609"/>
      <c r="CE33" s="609"/>
      <c r="CF33" s="609" t="str">
        <f t="shared" si="9"/>
        <v/>
      </c>
      <c r="CG33" s="610"/>
      <c r="CH33" s="609" t="str">
        <f>CONCATENATE("  ",L73)</f>
        <v xml:space="preserve">  Crúac</v>
      </c>
      <c r="CI33" s="609"/>
      <c r="CJ33" s="609"/>
      <c r="CK33" s="609" t="str">
        <f>VLOOKUP(N73,dotchart,4,FALSE)</f>
        <v/>
      </c>
      <c r="CL33" s="609"/>
      <c r="CM33" s="608" t="str">
        <f>CONCATENATE(" ",L43," ",IF(survspec&lt;&gt;"",CONCATENATE("(",survspec,")"),""))</f>
        <v xml:space="preserve"> Survival </v>
      </c>
      <c r="CN33" s="609"/>
      <c r="CO33" s="609"/>
      <c r="CP33" s="609"/>
      <c r="CQ33" s="609" t="str">
        <f t="shared" si="10"/>
        <v/>
      </c>
      <c r="CR33" s="610"/>
    </row>
    <row r="34" spans="2:96" ht="14.25" customHeight="1" x14ac:dyDescent="0.2">
      <c r="B34" s="778" t="s">
        <v>772</v>
      </c>
      <c r="C34" s="842"/>
      <c r="D34" s="34">
        <f>VLOOKUP((((VLOOKUP(((IF(E34=5,4,IF(E34=4,0,E34)))+1+F34),mult_chart,2,FALSE)*5)+G34)/5),mult_chart2,2,TRUE)</f>
        <v>1</v>
      </c>
      <c r="E34" s="35"/>
      <c r="F34" s="36"/>
      <c r="G34" s="37"/>
      <c r="H34" s="38">
        <f>IF((D34)&lt;(VLOOKUP(BP,bpchart,2,FALSE)),((D34+1)*5),0)</f>
        <v>10</v>
      </c>
      <c r="I34" s="39">
        <f>H34+G34</f>
        <v>10</v>
      </c>
      <c r="L34" s="773" t="s">
        <v>1119</v>
      </c>
      <c r="M34" s="774"/>
      <c r="N34" s="128">
        <f t="shared" si="11"/>
        <v>0</v>
      </c>
      <c r="O34" s="35"/>
      <c r="P34" s="37"/>
      <c r="Q34" s="38">
        <f t="shared" si="12"/>
        <v>3</v>
      </c>
      <c r="R34" s="38">
        <f t="shared" si="13"/>
        <v>3</v>
      </c>
      <c r="S34" s="765"/>
      <c r="T34" s="766"/>
      <c r="U34" s="766"/>
      <c r="V34" s="767"/>
      <c r="W34" s="129"/>
      <c r="X34" s="37"/>
      <c r="Y34" s="130">
        <f t="shared" si="14"/>
        <v>0</v>
      </c>
      <c r="AD34" s="90">
        <v>6</v>
      </c>
      <c r="AE34" s="90">
        <v>21</v>
      </c>
      <c r="AF34" s="90">
        <v>6</v>
      </c>
      <c r="AJ34" s="570" t="s">
        <v>1083</v>
      </c>
      <c r="AK34" s="571" t="s">
        <v>763</v>
      </c>
      <c r="AL34" s="572" t="s">
        <v>764</v>
      </c>
      <c r="AM34" s="341" t="s">
        <v>1926</v>
      </c>
      <c r="AN34" s="267" t="s">
        <v>1730</v>
      </c>
      <c r="AO34" s="143" t="s">
        <v>1174</v>
      </c>
      <c r="AP34" s="143" t="s">
        <v>1151</v>
      </c>
      <c r="AQ34" s="143"/>
      <c r="AR34" s="143"/>
      <c r="AS34" s="143"/>
      <c r="AT34" s="143">
        <v>2</v>
      </c>
      <c r="AU34" s="143" t="str">
        <f>IF(OR(strength&gt;2,intelligence&gt;2),"Yes","No")</f>
        <v>No</v>
      </c>
      <c r="AV34" s="143" t="s">
        <v>14</v>
      </c>
      <c r="AW34" s="62">
        <f t="shared" ca="1" si="0"/>
        <v>0</v>
      </c>
      <c r="AX34" s="138" t="s">
        <v>1312</v>
      </c>
      <c r="AY34" s="143" t="s">
        <v>1082</v>
      </c>
      <c r="AZ34" s="143" t="s">
        <v>808</v>
      </c>
      <c r="BA34" s="143" t="s">
        <v>811</v>
      </c>
      <c r="BB34" s="143" t="s">
        <v>814</v>
      </c>
      <c r="BC34" s="143" t="s">
        <v>262</v>
      </c>
      <c r="BD34" s="143" t="s">
        <v>2232</v>
      </c>
      <c r="BE34" s="62" t="str">
        <f>IF(clan1="Gangrel","Yes","No")</f>
        <v>No</v>
      </c>
      <c r="CC34" s="608" t="str">
        <f t="shared" si="8"/>
        <v/>
      </c>
      <c r="CD34" s="609"/>
      <c r="CE34" s="609"/>
      <c r="CF34" s="609" t="str">
        <f t="shared" si="9"/>
        <v/>
      </c>
      <c r="CG34" s="610"/>
      <c r="CH34" s="609" t="str">
        <f>CONCATENATE("  ",L74)</f>
        <v xml:space="preserve">  Theban Sorcery</v>
      </c>
      <c r="CI34" s="609"/>
      <c r="CJ34" s="609"/>
      <c r="CK34" s="609" t="str">
        <f>VLOOKUP(N74,dotchart,4,FALSE)</f>
        <v/>
      </c>
      <c r="CL34" s="609"/>
      <c r="CM34" s="611" t="str">
        <f>CONCATENATE(" ",L44," ",IF(weapspec&lt;&gt;"",CONCATENATE("(",weapspec,")"),""))</f>
        <v xml:space="preserve"> Weaponry </v>
      </c>
      <c r="CN34" s="612"/>
      <c r="CO34" s="612"/>
      <c r="CP34" s="612"/>
      <c r="CQ34" s="612" t="str">
        <f t="shared" si="10"/>
        <v/>
      </c>
      <c r="CR34" s="613"/>
    </row>
    <row r="35" spans="2:96" ht="14.25" customHeight="1" x14ac:dyDescent="0.2">
      <c r="B35" s="778" t="s">
        <v>773</v>
      </c>
      <c r="C35" s="805"/>
      <c r="D35" s="34">
        <f>VLOOKUP((((VLOOKUP(((IF(E35=5,4,IF(E35=4,0,E35)))+1+F35),mult_chart,2,FALSE)*5)+G35)/5),mult_chart2,2,TRUE)</f>
        <v>1</v>
      </c>
      <c r="E35" s="35"/>
      <c r="F35" s="36"/>
      <c r="G35" s="37"/>
      <c r="H35" s="38">
        <f>IF((D35)&lt;(VLOOKUP(BP,bpchart,2,FALSE)),((D35+1)*5),0)</f>
        <v>10</v>
      </c>
      <c r="I35" s="39">
        <f>H35+G35</f>
        <v>10</v>
      </c>
      <c r="L35" s="418"/>
      <c r="M35" s="419"/>
      <c r="N35" s="114"/>
      <c r="O35" s="131">
        <f>(IF(skillpriority=1,11,IF(skillpriority=2,11,IF(skillpriority=4,7,IF(skillpriority=5,7,IF(skillpriority=3,4,IF(skillpriority=6,4,0)))))))-SUM(O27:O34)</f>
        <v>0</v>
      </c>
      <c r="P35" s="781" t="s">
        <v>766</v>
      </c>
      <c r="Q35" s="781"/>
      <c r="R35" s="781"/>
      <c r="S35" s="775"/>
      <c r="T35" s="775"/>
      <c r="U35" s="775"/>
      <c r="V35" s="775"/>
      <c r="W35" s="423"/>
      <c r="X35" s="132"/>
      <c r="Y35" s="30"/>
      <c r="AD35" s="90">
        <v>7</v>
      </c>
      <c r="AE35" s="90">
        <v>28</v>
      </c>
      <c r="AF35" s="90">
        <v>7</v>
      </c>
      <c r="AJ35" s="570" t="s">
        <v>1084</v>
      </c>
      <c r="AK35" s="571" t="s">
        <v>774</v>
      </c>
      <c r="AL35" s="572" t="s">
        <v>768</v>
      </c>
      <c r="AM35" s="341" t="s">
        <v>1927</v>
      </c>
      <c r="AN35" s="267" t="s">
        <v>1682</v>
      </c>
      <c r="AO35" s="143" t="s">
        <v>1175</v>
      </c>
      <c r="AP35" s="143">
        <v>4</v>
      </c>
      <c r="AQ35" s="143"/>
      <c r="AR35" s="143"/>
      <c r="AS35" s="143"/>
      <c r="AT35" s="143">
        <v>4</v>
      </c>
      <c r="AU35" s="143" t="str">
        <f>IF(AND(composure&gt;2,resolve&gt;2),"Yes","No")</f>
        <v>No</v>
      </c>
      <c r="AV35" s="143" t="s">
        <v>14</v>
      </c>
      <c r="AW35" s="62">
        <f t="shared" ca="1" si="0"/>
        <v>0</v>
      </c>
      <c r="AX35" s="138" t="s">
        <v>1324</v>
      </c>
      <c r="AY35" s="143" t="s">
        <v>1084</v>
      </c>
      <c r="AZ35" s="143" t="s">
        <v>811</v>
      </c>
      <c r="BA35" s="143" t="s">
        <v>812</v>
      </c>
      <c r="BB35" s="143" t="s">
        <v>813</v>
      </c>
      <c r="BC35" s="143" t="s">
        <v>263</v>
      </c>
      <c r="BD35" s="143" t="s">
        <v>2232</v>
      </c>
      <c r="BE35" s="62" t="str">
        <f>IF(clan1="Nosferatu","Yes","No")</f>
        <v>No</v>
      </c>
      <c r="BF35" s="588"/>
      <c r="BG35" s="588"/>
      <c r="BH35" s="588"/>
      <c r="CC35" s="608" t="str">
        <f t="shared" si="8"/>
        <v/>
      </c>
      <c r="CD35" s="609"/>
      <c r="CE35" s="609"/>
      <c r="CF35" s="609" t="str">
        <f t="shared" si="9"/>
        <v/>
      </c>
      <c r="CG35" s="610"/>
      <c r="CH35" s="667" t="s">
        <v>2179</v>
      </c>
      <c r="CI35" s="667"/>
      <c r="CJ35" s="667"/>
      <c r="CK35" s="667"/>
      <c r="CL35" s="912"/>
      <c r="CM35" s="656" t="s">
        <v>2177</v>
      </c>
      <c r="CN35" s="657"/>
      <c r="CO35" s="657"/>
      <c r="CP35" s="609" t="s">
        <v>2178</v>
      </c>
      <c r="CQ35" s="609"/>
      <c r="CR35" s="610"/>
    </row>
    <row r="36" spans="2:96" ht="14.25" customHeight="1" x14ac:dyDescent="0.2">
      <c r="B36" s="778" t="s">
        <v>774</v>
      </c>
      <c r="C36" s="805"/>
      <c r="D36" s="34">
        <f>VLOOKUP((((VLOOKUP(((IF(E36=5,4,IF(E36=4,0,E36)))+1+F36),mult_chart,2,FALSE)*5)+G36)/5),mult_chart2,2,TRUE)</f>
        <v>1</v>
      </c>
      <c r="E36" s="35"/>
      <c r="F36" s="36"/>
      <c r="G36" s="37"/>
      <c r="H36" s="38">
        <f>IF((D36)&lt;(VLOOKUP(BP,bpchart,2,FALSE)),((D36+1)*5),0)</f>
        <v>10</v>
      </c>
      <c r="I36" s="39">
        <f>H36+G36</f>
        <v>10</v>
      </c>
      <c r="L36" s="738" t="s">
        <v>767</v>
      </c>
      <c r="M36" s="739"/>
      <c r="N36" s="114"/>
      <c r="O36" s="46"/>
      <c r="P36" s="46"/>
      <c r="Q36" s="780"/>
      <c r="R36" s="780"/>
      <c r="S36" s="423"/>
      <c r="T36" s="423"/>
      <c r="U36" s="423"/>
      <c r="V36" s="423"/>
      <c r="W36" s="423"/>
      <c r="X36" s="132"/>
      <c r="Y36" s="30"/>
      <c r="AD36" s="90">
        <v>8</v>
      </c>
      <c r="AE36" s="90">
        <v>36</v>
      </c>
      <c r="AF36" s="90">
        <v>8</v>
      </c>
      <c r="AJ36" s="573" t="s">
        <v>1085</v>
      </c>
      <c r="AK36" s="574" t="s">
        <v>772</v>
      </c>
      <c r="AL36" s="575" t="s">
        <v>765</v>
      </c>
      <c r="AM36" s="341" t="s">
        <v>1928</v>
      </c>
      <c r="AN36" s="267" t="s">
        <v>1644</v>
      </c>
      <c r="AO36" s="143" t="s">
        <v>1176</v>
      </c>
      <c r="AP36" s="143">
        <v>1</v>
      </c>
      <c r="AQ36" s="143"/>
      <c r="AR36" s="143"/>
      <c r="AS36" s="143"/>
      <c r="AT36" s="143">
        <v>1</v>
      </c>
      <c r="AU36" s="143" t="s">
        <v>806</v>
      </c>
      <c r="AV36" s="143" t="s">
        <v>14</v>
      </c>
      <c r="AW36" s="62">
        <f t="shared" ca="1" si="0"/>
        <v>0</v>
      </c>
      <c r="AX36" s="138" t="s">
        <v>2229</v>
      </c>
      <c r="AY36" s="143" t="s">
        <v>1082</v>
      </c>
      <c r="AZ36" s="143" t="s">
        <v>808</v>
      </c>
      <c r="BA36" s="143" t="s">
        <v>814</v>
      </c>
      <c r="BB36" s="143" t="s">
        <v>262</v>
      </c>
      <c r="BC36" s="143" t="s">
        <v>813</v>
      </c>
      <c r="BD36" s="143" t="s">
        <v>2232</v>
      </c>
      <c r="BE36" s="62" t="str">
        <f>IF(clan1="Gangrel","Yes","No")</f>
        <v>No</v>
      </c>
      <c r="BF36" s="581"/>
      <c r="BG36" s="581"/>
      <c r="BH36" s="581"/>
      <c r="CC36" s="608" t="str">
        <f t="shared" si="8"/>
        <v/>
      </c>
      <c r="CD36" s="609"/>
      <c r="CE36" s="609"/>
      <c r="CF36" s="609" t="str">
        <f t="shared" si="9"/>
        <v/>
      </c>
      <c r="CG36" s="610"/>
      <c r="CH36" s="660" t="str">
        <f t="shared" ref="CH36:CH45" si="15">IF(B195&lt;&gt;"",CONCATENATE("    ",D195,"  ",B195),CONCATENATE("    ",D195,""))</f>
        <v xml:space="preserve">    10</v>
      </c>
      <c r="CI36" s="660"/>
      <c r="CJ36" s="660"/>
      <c r="CK36" s="660"/>
      <c r="CL36" s="474" t="str">
        <f>IF(humanity&gt;=10,"O","")</f>
        <v/>
      </c>
      <c r="CM36" s="659" t="str">
        <f>CONCATENATE(" ",L47," ",IF(animspec&lt;&gt;"",CONCATENATE("(",animspec,")"),""))</f>
        <v xml:space="preserve"> Animal Ken </v>
      </c>
      <c r="CN36" s="660"/>
      <c r="CO36" s="660"/>
      <c r="CP36" s="660"/>
      <c r="CQ36" s="660" t="str">
        <f t="shared" ref="CQ36:CQ43" si="16">VLOOKUP(N47,dotchart,4,FALSE)</f>
        <v/>
      </c>
      <c r="CR36" s="661"/>
    </row>
    <row r="37" spans="2:96" ht="14.25" customHeight="1" thickBot="1" x14ac:dyDescent="0.25">
      <c r="B37" s="48"/>
      <c r="C37" s="49"/>
      <c r="D37" s="49"/>
      <c r="E37" s="50">
        <f>(IF(attpriority=3,5,IF(attpriority=4,5,IF(attpriority=1,4,IF(attpriority=6,4,IF(attpriority=2,3,IF(attpriority=5,3,0)))))))-(SUM(E34:E36))</f>
        <v>0</v>
      </c>
      <c r="F37" s="51" t="s">
        <v>766</v>
      </c>
      <c r="G37" s="51"/>
      <c r="H37" s="51"/>
      <c r="I37" s="52"/>
      <c r="L37" s="773" t="s">
        <v>1120</v>
      </c>
      <c r="M37" s="774"/>
      <c r="N37" s="128">
        <f t="shared" ref="N37:N44" si="17">VLOOKUP((((VLOOKUP(IF(O37=6,5,IF(O37=5,0,O37)),mult_chart,2,FALSE)*3)+P37)/3),mult_chart2,2,TRUE)</f>
        <v>0</v>
      </c>
      <c r="O37" s="35"/>
      <c r="P37" s="37"/>
      <c r="Q37" s="38">
        <f t="shared" ref="Q37:Q44" si="18">IF(N37&lt;(VLOOKUP(BP,bpchart,2,FALSE)),((N37+1)*3),0)</f>
        <v>3</v>
      </c>
      <c r="R37" s="38">
        <f t="shared" ref="R37:R44" si="19">Q37+P37</f>
        <v>3</v>
      </c>
      <c r="S37" s="765"/>
      <c r="T37" s="766"/>
      <c r="U37" s="766"/>
      <c r="V37" s="767"/>
      <c r="W37" s="129"/>
      <c r="X37" s="37"/>
      <c r="Y37" s="130">
        <f t="shared" ref="Y37:Y44" si="20">X37/3+W37</f>
        <v>0</v>
      </c>
      <c r="AD37" s="90">
        <v>9</v>
      </c>
      <c r="AE37" s="90">
        <v>45</v>
      </c>
      <c r="AF37" s="91">
        <v>9</v>
      </c>
      <c r="AJ37" s="548"/>
      <c r="AM37" s="341" t="s">
        <v>1929</v>
      </c>
      <c r="AN37" s="267" t="s">
        <v>1700</v>
      </c>
      <c r="AO37" s="143" t="s">
        <v>1177</v>
      </c>
      <c r="AP37" s="143">
        <v>2</v>
      </c>
      <c r="AQ37" s="143"/>
      <c r="AR37" s="143"/>
      <c r="AS37" s="143"/>
      <c r="AT37" s="143">
        <v>2</v>
      </c>
      <c r="AU37" s="143" t="str">
        <f>IF(AND(dexterity&gt;2,weaponry&gt;1),"Yes","No")</f>
        <v>No</v>
      </c>
      <c r="AV37" s="143" t="s">
        <v>14</v>
      </c>
      <c r="AW37" s="62">
        <f t="shared" ca="1" si="0"/>
        <v>0</v>
      </c>
      <c r="AX37" s="138" t="s">
        <v>1319</v>
      </c>
      <c r="AY37" s="143" t="s">
        <v>1083</v>
      </c>
      <c r="AZ37" s="143" t="s">
        <v>809</v>
      </c>
      <c r="BA37" s="143" t="s">
        <v>208</v>
      </c>
      <c r="BB37" s="143" t="s">
        <v>811</v>
      </c>
      <c r="BC37" s="143" t="s">
        <v>1320</v>
      </c>
      <c r="BD37" s="143" t="s">
        <v>2232</v>
      </c>
      <c r="BE37" s="62" t="str">
        <f>IF(clan1="Mekhet","Yes","No")</f>
        <v>No</v>
      </c>
      <c r="BF37" s="581"/>
      <c r="BG37" s="581"/>
      <c r="BH37" s="581"/>
      <c r="CC37" s="608" t="str">
        <f t="shared" si="8"/>
        <v/>
      </c>
      <c r="CD37" s="609"/>
      <c r="CE37" s="609"/>
      <c r="CF37" s="609" t="str">
        <f t="shared" si="9"/>
        <v/>
      </c>
      <c r="CG37" s="610"/>
      <c r="CH37" s="609" t="str">
        <f t="shared" si="15"/>
        <v xml:space="preserve">    9</v>
      </c>
      <c r="CI37" s="609"/>
      <c r="CJ37" s="609"/>
      <c r="CK37" s="609"/>
      <c r="CL37" s="452" t="str">
        <f>IF(humanity&gt;=9,"O","")</f>
        <v/>
      </c>
      <c r="CM37" s="608" t="str">
        <f>CONCATENATE(" ",L48," ",IF(empspec&lt;&gt;"",CONCATENATE("(",empspec,")"),""))</f>
        <v xml:space="preserve"> Empathy </v>
      </c>
      <c r="CN37" s="609"/>
      <c r="CO37" s="609"/>
      <c r="CP37" s="609"/>
      <c r="CQ37" s="609" t="str">
        <f t="shared" si="16"/>
        <v/>
      </c>
      <c r="CR37" s="610"/>
    </row>
    <row r="38" spans="2:96" ht="14.25" customHeight="1" thickTop="1" thickBot="1" x14ac:dyDescent="0.25">
      <c r="F38" s="555">
        <f>SUM(F24:F26,F29:F31,F34:F36)</f>
        <v>0</v>
      </c>
      <c r="L38" s="773" t="s">
        <v>1121</v>
      </c>
      <c r="M38" s="774"/>
      <c r="N38" s="128">
        <f t="shared" si="17"/>
        <v>0</v>
      </c>
      <c r="O38" s="35"/>
      <c r="P38" s="37"/>
      <c r="Q38" s="38">
        <f t="shared" si="18"/>
        <v>3</v>
      </c>
      <c r="R38" s="38">
        <f t="shared" si="19"/>
        <v>3</v>
      </c>
      <c r="S38" s="765"/>
      <c r="T38" s="766"/>
      <c r="U38" s="766"/>
      <c r="V38" s="767"/>
      <c r="W38" s="129"/>
      <c r="X38" s="37"/>
      <c r="Y38" s="130">
        <f t="shared" si="20"/>
        <v>0</v>
      </c>
      <c r="AD38" s="92">
        <v>10</v>
      </c>
      <c r="AE38" s="92">
        <v>55</v>
      </c>
      <c r="AF38" s="93">
        <v>10</v>
      </c>
      <c r="AJ38" s="548"/>
      <c r="AM38" s="341" t="s">
        <v>1930</v>
      </c>
      <c r="AN38" s="267" t="s">
        <v>1732</v>
      </c>
      <c r="AO38" s="143" t="s">
        <v>2238</v>
      </c>
      <c r="AP38" s="143">
        <v>2</v>
      </c>
      <c r="AQ38" s="143"/>
      <c r="AR38" s="143"/>
      <c r="AS38" s="143"/>
      <c r="AT38" s="143">
        <v>2</v>
      </c>
      <c r="AU38" s="143" t="str">
        <f>IF(BP&gt;5,"Yes","No")</f>
        <v>No</v>
      </c>
      <c r="AV38" s="143" t="s">
        <v>14</v>
      </c>
      <c r="AW38" s="62">
        <f t="shared" ca="1" si="0"/>
        <v>0</v>
      </c>
      <c r="AX38" s="139" t="s">
        <v>1305</v>
      </c>
      <c r="AY38" s="72" t="s">
        <v>1081</v>
      </c>
      <c r="AZ38" s="162" t="s">
        <v>208</v>
      </c>
      <c r="BA38" s="162" t="s">
        <v>810</v>
      </c>
      <c r="BB38" s="162" t="s">
        <v>811</v>
      </c>
      <c r="BC38" s="162" t="s">
        <v>263</v>
      </c>
      <c r="BD38" s="162" t="s">
        <v>2232</v>
      </c>
      <c r="BE38" s="73" t="str">
        <f>IF(clan1="Daeva","Yes","No")</f>
        <v>No</v>
      </c>
      <c r="BF38" s="581"/>
      <c r="BG38" s="581"/>
      <c r="BH38" s="581"/>
      <c r="CC38" s="608" t="str">
        <f t="shared" si="8"/>
        <v/>
      </c>
      <c r="CD38" s="609"/>
      <c r="CE38" s="609"/>
      <c r="CF38" s="609" t="str">
        <f t="shared" si="9"/>
        <v/>
      </c>
      <c r="CG38" s="610"/>
      <c r="CH38" s="609" t="str">
        <f t="shared" si="15"/>
        <v xml:space="preserve">    8</v>
      </c>
      <c r="CI38" s="609"/>
      <c r="CJ38" s="609"/>
      <c r="CK38" s="609"/>
      <c r="CL38" s="452" t="str">
        <f>IF(humanity&gt;=8,"O","")</f>
        <v/>
      </c>
      <c r="CM38" s="608" t="str">
        <f>CONCATENATE(" ",L49," ",IF(exprespec&lt;&gt;"",CONCATENATE("(",exprespec,")"),""))</f>
        <v xml:space="preserve"> Expression </v>
      </c>
      <c r="CN38" s="609"/>
      <c r="CO38" s="609"/>
      <c r="CP38" s="609"/>
      <c r="CQ38" s="609" t="str">
        <f t="shared" si="16"/>
        <v/>
      </c>
      <c r="CR38" s="610"/>
    </row>
    <row r="39" spans="2:96" ht="14.25" customHeight="1" thickTop="1" thickBot="1" x14ac:dyDescent="0.25">
      <c r="B39" s="637" t="s">
        <v>1104</v>
      </c>
      <c r="C39" s="638"/>
      <c r="D39" s="27"/>
      <c r="E39" s="768" t="s">
        <v>1137</v>
      </c>
      <c r="F39" s="768"/>
      <c r="G39" s="768"/>
      <c r="H39" s="140"/>
      <c r="I39" s="27"/>
      <c r="J39" s="28"/>
      <c r="L39" s="773" t="s">
        <v>1122</v>
      </c>
      <c r="M39" s="774"/>
      <c r="N39" s="128">
        <f t="shared" si="17"/>
        <v>0</v>
      </c>
      <c r="O39" s="35"/>
      <c r="P39" s="37"/>
      <c r="Q39" s="38">
        <f t="shared" si="18"/>
        <v>3</v>
      </c>
      <c r="R39" s="38">
        <f t="shared" si="19"/>
        <v>3</v>
      </c>
      <c r="S39" s="765"/>
      <c r="T39" s="766"/>
      <c r="U39" s="766"/>
      <c r="V39" s="767"/>
      <c r="W39" s="129"/>
      <c r="X39" s="37"/>
      <c r="Y39" s="130">
        <f t="shared" si="20"/>
        <v>0</v>
      </c>
      <c r="AD39" s="94" t="s">
        <v>818</v>
      </c>
      <c r="AE39" s="95" t="s">
        <v>819</v>
      </c>
      <c r="AF39" s="95" t="s">
        <v>820</v>
      </c>
      <c r="AG39" s="95"/>
      <c r="AH39" s="95"/>
      <c r="AI39" s="95"/>
      <c r="AJ39" s="552"/>
      <c r="AM39" s="341" t="s">
        <v>1931</v>
      </c>
      <c r="AN39" s="267" t="s">
        <v>2316</v>
      </c>
      <c r="AO39" s="143" t="s">
        <v>1262</v>
      </c>
      <c r="AP39" s="143">
        <v>1</v>
      </c>
      <c r="AQ39" s="143"/>
      <c r="AR39" s="143"/>
      <c r="AS39" s="143"/>
      <c r="AT39" s="143">
        <v>1</v>
      </c>
      <c r="AU39" s="143" t="str">
        <f>IF(clan1="Mekhet","Yes","No")</f>
        <v>No</v>
      </c>
      <c r="AV39" s="143" t="s">
        <v>14</v>
      </c>
      <c r="AW39" s="62">
        <f t="shared" ca="1" si="0"/>
        <v>0</v>
      </c>
      <c r="AX39" s="278"/>
      <c r="AY39" s="272"/>
      <c r="AZ39" s="272"/>
      <c r="BA39" s="272"/>
      <c r="BB39" s="581"/>
      <c r="BC39" s="272"/>
      <c r="BD39" s="272"/>
      <c r="BE39" s="272"/>
      <c r="BF39" s="587"/>
      <c r="BG39" s="272"/>
      <c r="BH39" s="581"/>
      <c r="CC39" s="608" t="str">
        <f t="shared" si="8"/>
        <v/>
      </c>
      <c r="CD39" s="609"/>
      <c r="CE39" s="609"/>
      <c r="CF39" s="609" t="str">
        <f t="shared" si="9"/>
        <v/>
      </c>
      <c r="CG39" s="610"/>
      <c r="CH39" s="609" t="str">
        <f t="shared" si="15"/>
        <v xml:space="preserve">    7</v>
      </c>
      <c r="CI39" s="609"/>
      <c r="CJ39" s="609"/>
      <c r="CK39" s="609"/>
      <c r="CL39" s="452" t="str">
        <f>IF(humanity&gt;=7,"O","")</f>
        <v/>
      </c>
      <c r="CM39" s="608" t="str">
        <f>CONCATENATE(" ",L50," ",IF(intimspec&lt;&gt;"",CONCATENATE("(",intimspec,")"),""))</f>
        <v xml:space="preserve"> Intimidation </v>
      </c>
      <c r="CN39" s="609"/>
      <c r="CO39" s="609"/>
      <c r="CP39" s="609"/>
      <c r="CQ39" s="609" t="str">
        <f t="shared" si="16"/>
        <v/>
      </c>
      <c r="CR39" s="610"/>
    </row>
    <row r="40" spans="2:96" ht="14.25" customHeight="1" x14ac:dyDescent="0.2">
      <c r="B40" s="639"/>
      <c r="C40" s="640"/>
      <c r="D40" s="114"/>
      <c r="E40" s="141" t="s">
        <v>760</v>
      </c>
      <c r="F40" s="141" t="s">
        <v>8</v>
      </c>
      <c r="G40" s="142" t="s">
        <v>1138</v>
      </c>
      <c r="H40" s="769" t="s">
        <v>762</v>
      </c>
      <c r="I40" s="770"/>
      <c r="J40" s="417" t="s">
        <v>6</v>
      </c>
      <c r="L40" s="773" t="s">
        <v>1123</v>
      </c>
      <c r="M40" s="774"/>
      <c r="N40" s="128">
        <f t="shared" si="17"/>
        <v>0</v>
      </c>
      <c r="O40" s="35"/>
      <c r="P40" s="37"/>
      <c r="Q40" s="38">
        <f t="shared" si="18"/>
        <v>3</v>
      </c>
      <c r="R40" s="38">
        <f t="shared" si="19"/>
        <v>3</v>
      </c>
      <c r="S40" s="765"/>
      <c r="T40" s="766"/>
      <c r="U40" s="766"/>
      <c r="V40" s="767"/>
      <c r="W40" s="129"/>
      <c r="X40" s="37"/>
      <c r="Y40" s="130">
        <f t="shared" si="20"/>
        <v>0</v>
      </c>
      <c r="AD40" s="96">
        <v>0</v>
      </c>
      <c r="AE40" s="97" t="str">
        <f>""</f>
        <v/>
      </c>
      <c r="AF40" s="97" t="str">
        <f>""</f>
        <v/>
      </c>
      <c r="AG40" s="97" t="str">
        <f>""</f>
        <v/>
      </c>
      <c r="AH40" s="97" t="str">
        <f>""</f>
        <v/>
      </c>
      <c r="AI40" s="366" t="str">
        <f>""</f>
        <v/>
      </c>
      <c r="AJ40" s="552"/>
      <c r="AM40" s="341" t="s">
        <v>1932</v>
      </c>
      <c r="AN40" s="267" t="s">
        <v>1646</v>
      </c>
      <c r="AO40" s="143" t="s">
        <v>1263</v>
      </c>
      <c r="AP40" s="143">
        <v>3</v>
      </c>
      <c r="AQ40" s="143"/>
      <c r="AR40" s="143"/>
      <c r="AS40" s="143"/>
      <c r="AT40" s="143">
        <v>3</v>
      </c>
      <c r="AU40" s="143" t="str">
        <f>IF(clan1="Mekhet","Yes","No")</f>
        <v>No</v>
      </c>
      <c r="AV40" s="143" t="s">
        <v>14</v>
      </c>
      <c r="AW40" s="62">
        <f t="shared" ca="1" si="0"/>
        <v>0</v>
      </c>
      <c r="AX40" s="590"/>
      <c r="AY40" s="272"/>
      <c r="AZ40" s="272"/>
      <c r="BA40" s="581"/>
      <c r="BB40" s="272"/>
      <c r="BC40" s="272"/>
      <c r="BD40" s="272"/>
      <c r="BE40" s="581"/>
      <c r="BF40" s="581"/>
      <c r="BG40" s="581"/>
      <c r="BH40" s="581"/>
      <c r="CC40" s="608" t="str">
        <f t="shared" si="8"/>
        <v/>
      </c>
      <c r="CD40" s="609"/>
      <c r="CE40" s="609"/>
      <c r="CF40" s="609" t="str">
        <f t="shared" si="9"/>
        <v/>
      </c>
      <c r="CG40" s="610"/>
      <c r="CH40" s="609" t="str">
        <f t="shared" si="15"/>
        <v xml:space="preserve">    6</v>
      </c>
      <c r="CI40" s="609"/>
      <c r="CJ40" s="609"/>
      <c r="CK40" s="609"/>
      <c r="CL40" s="452" t="str">
        <f>IF(humanity&gt;=6,"O","")</f>
        <v/>
      </c>
      <c r="CM40" s="608" t="str">
        <f>CONCATENATE(" ",L51," ",IF(persspec&lt;&gt;"",CONCATENATE("(",persspec,")"),""))</f>
        <v xml:space="preserve"> Persuasion </v>
      </c>
      <c r="CN40" s="609"/>
      <c r="CO40" s="609"/>
      <c r="CP40" s="609"/>
      <c r="CQ40" s="609" t="str">
        <f t="shared" si="16"/>
        <v/>
      </c>
      <c r="CR40" s="610"/>
    </row>
    <row r="41" spans="2:96" ht="14.25" customHeight="1" x14ac:dyDescent="0.2">
      <c r="B41" s="725" t="s">
        <v>750</v>
      </c>
      <c r="C41" s="726"/>
      <c r="D41" s="472">
        <f>VLOOKUP((((VLOOKUP(((IF(E41=3,1,IF(E41=6,2,0)))+1),mult_chart,2,TRUE)*8)+F41)/8),mult_chart2,2,TRUE)</f>
        <v>1</v>
      </c>
      <c r="E41" s="35"/>
      <c r="F41" s="129"/>
      <c r="G41" s="429"/>
      <c r="H41" s="429">
        <f>IF(D41&lt;10,((D41+1)*8),0)</f>
        <v>16</v>
      </c>
      <c r="I41" s="472">
        <f>F41+H41</f>
        <v>16</v>
      </c>
      <c r="J41" s="426" t="str">
        <f>IF(BP&gt;6,"Genre","Local")</f>
        <v>Local</v>
      </c>
      <c r="L41" s="778" t="s">
        <v>1124</v>
      </c>
      <c r="M41" s="779"/>
      <c r="N41" s="128">
        <f t="shared" si="17"/>
        <v>0</v>
      </c>
      <c r="O41" s="35"/>
      <c r="P41" s="37"/>
      <c r="Q41" s="38">
        <f t="shared" si="18"/>
        <v>3</v>
      </c>
      <c r="R41" s="38">
        <f t="shared" si="19"/>
        <v>3</v>
      </c>
      <c r="S41" s="765"/>
      <c r="T41" s="766"/>
      <c r="U41" s="766"/>
      <c r="V41" s="767"/>
      <c r="W41" s="129"/>
      <c r="X41" s="37"/>
      <c r="Y41" s="130">
        <f t="shared" si="20"/>
        <v>0</v>
      </c>
      <c r="AD41" s="96">
        <v>1</v>
      </c>
      <c r="AE41" s="98" t="s">
        <v>821</v>
      </c>
      <c r="AF41" s="99" t="s">
        <v>822</v>
      </c>
      <c r="AG41" s="100" t="s">
        <v>823</v>
      </c>
      <c r="AH41" s="100" t="s">
        <v>824</v>
      </c>
      <c r="AI41" s="367" t="s">
        <v>825</v>
      </c>
      <c r="AJ41" s="552"/>
      <c r="AM41" s="341" t="s">
        <v>1933</v>
      </c>
      <c r="AN41" s="267" t="s">
        <v>1684</v>
      </c>
      <c r="AO41" s="143" t="s">
        <v>1178</v>
      </c>
      <c r="AP41" s="143">
        <v>2</v>
      </c>
      <c r="AQ41" s="143"/>
      <c r="AR41" s="143"/>
      <c r="AS41" s="143"/>
      <c r="AT41" s="143">
        <v>2</v>
      </c>
      <c r="AU41" s="143" t="s">
        <v>806</v>
      </c>
      <c r="AV41" s="143" t="s">
        <v>14</v>
      </c>
      <c r="AW41" s="62">
        <f t="shared" ca="1" si="0"/>
        <v>0</v>
      </c>
      <c r="AX41" s="584" t="s">
        <v>1859</v>
      </c>
      <c r="AY41" s="273" t="s">
        <v>1860</v>
      </c>
      <c r="AZ41" s="273" t="s">
        <v>1861</v>
      </c>
      <c r="BA41" s="273" t="s">
        <v>1862</v>
      </c>
      <c r="BB41" s="273" t="s">
        <v>1863</v>
      </c>
      <c r="BC41" s="273" t="s">
        <v>1864</v>
      </c>
      <c r="BD41" s="273" t="s">
        <v>2</v>
      </c>
      <c r="BE41" s="273" t="s">
        <v>1865</v>
      </c>
      <c r="BF41" s="273" t="s">
        <v>1866</v>
      </c>
      <c r="BG41" s="273" t="s">
        <v>1292</v>
      </c>
      <c r="BH41" s="274" t="s">
        <v>6</v>
      </c>
      <c r="CC41" s="608" t="str">
        <f t="shared" si="8"/>
        <v/>
      </c>
      <c r="CD41" s="609"/>
      <c r="CE41" s="609"/>
      <c r="CF41" s="609" t="str">
        <f t="shared" si="9"/>
        <v/>
      </c>
      <c r="CG41" s="610"/>
      <c r="CH41" s="609" t="str">
        <f t="shared" si="15"/>
        <v xml:space="preserve">    5</v>
      </c>
      <c r="CI41" s="609"/>
      <c r="CJ41" s="609"/>
      <c r="CK41" s="609"/>
      <c r="CL41" s="452" t="str">
        <f>IF(humanity&gt;=5,"O","")</f>
        <v>O</v>
      </c>
      <c r="CM41" s="608" t="str">
        <f>CONCATENATE(" ",L52," ",IF(socspec&lt;&gt;"",CONCATENATE("(",socspec,")"),""))</f>
        <v xml:space="preserve"> Socialize </v>
      </c>
      <c r="CN41" s="609"/>
      <c r="CO41" s="609"/>
      <c r="CP41" s="609"/>
      <c r="CQ41" s="609" t="str">
        <f t="shared" si="16"/>
        <v/>
      </c>
      <c r="CR41" s="610"/>
    </row>
    <row r="42" spans="2:96" ht="14.25" customHeight="1" x14ac:dyDescent="0.2">
      <c r="B42" s="725" t="str">
        <f>CONCATENATE("Status (",clan1,")")</f>
        <v>Status ()</v>
      </c>
      <c r="C42" s="726"/>
      <c r="D42" s="472">
        <f>F42</f>
        <v>0</v>
      </c>
      <c r="E42" s="149" t="s">
        <v>1139</v>
      </c>
      <c r="F42" s="129"/>
      <c r="G42" s="413" t="s">
        <v>1140</v>
      </c>
      <c r="H42" s="472"/>
      <c r="I42" s="472"/>
      <c r="J42" s="426" t="s">
        <v>14</v>
      </c>
      <c r="L42" s="773" t="s">
        <v>1125</v>
      </c>
      <c r="M42" s="774"/>
      <c r="N42" s="128">
        <f t="shared" si="17"/>
        <v>0</v>
      </c>
      <c r="O42" s="35"/>
      <c r="P42" s="37"/>
      <c r="Q42" s="38">
        <f t="shared" si="18"/>
        <v>3</v>
      </c>
      <c r="R42" s="38">
        <f t="shared" si="19"/>
        <v>3</v>
      </c>
      <c r="S42" s="765"/>
      <c r="T42" s="766"/>
      <c r="U42" s="766"/>
      <c r="V42" s="767"/>
      <c r="W42" s="129"/>
      <c r="X42" s="37"/>
      <c r="Y42" s="130">
        <f t="shared" si="20"/>
        <v>0</v>
      </c>
      <c r="AD42" s="96">
        <v>2</v>
      </c>
      <c r="AE42" s="98" t="s">
        <v>826</v>
      </c>
      <c r="AF42" s="99" t="s">
        <v>827</v>
      </c>
      <c r="AG42" s="100" t="s">
        <v>828</v>
      </c>
      <c r="AH42" s="100" t="s">
        <v>829</v>
      </c>
      <c r="AI42" s="367" t="s">
        <v>830</v>
      </c>
      <c r="AJ42" s="552"/>
      <c r="AM42" s="341" t="s">
        <v>1934</v>
      </c>
      <c r="AN42" s="267" t="s">
        <v>1702</v>
      </c>
      <c r="AO42" s="143" t="s">
        <v>1179</v>
      </c>
      <c r="AP42" s="143">
        <v>1</v>
      </c>
      <c r="AQ42" s="143"/>
      <c r="AR42" s="143"/>
      <c r="AS42" s="143"/>
      <c r="AT42" s="143">
        <v>1</v>
      </c>
      <c r="AU42" s="143" t="str">
        <f>IF(resolve&gt;1,"Yes","No")</f>
        <v>No</v>
      </c>
      <c r="AV42" s="143" t="s">
        <v>14</v>
      </c>
      <c r="AW42" s="62">
        <f t="shared" ca="1" si="0"/>
        <v>0</v>
      </c>
      <c r="AX42" s="585" t="s">
        <v>1867</v>
      </c>
      <c r="AY42" s="275" t="s">
        <v>1074</v>
      </c>
      <c r="AZ42" s="275" t="s">
        <v>12</v>
      </c>
      <c r="BA42" s="275" t="s">
        <v>12</v>
      </c>
      <c r="BB42" s="276" t="s">
        <v>1869</v>
      </c>
      <c r="BC42" s="276" t="s">
        <v>1870</v>
      </c>
      <c r="BD42" s="276">
        <v>5</v>
      </c>
      <c r="BE42" s="275" t="s">
        <v>12</v>
      </c>
      <c r="BF42" s="275" t="s">
        <v>12</v>
      </c>
      <c r="BG42" s="275" t="str">
        <f>IF(covenant1="Invictus","Yes","No")</f>
        <v>No</v>
      </c>
      <c r="BH42" s="275" t="str">
        <f>IF(covenant1="Invictus","Local","Unavailable")</f>
        <v>Unavailable</v>
      </c>
      <c r="CC42" s="608" t="str">
        <f t="shared" si="8"/>
        <v/>
      </c>
      <c r="CD42" s="609"/>
      <c r="CE42" s="609"/>
      <c r="CF42" s="609" t="str">
        <f t="shared" si="9"/>
        <v/>
      </c>
      <c r="CG42" s="610"/>
      <c r="CH42" s="609" t="str">
        <f t="shared" si="15"/>
        <v xml:space="preserve">    4</v>
      </c>
      <c r="CI42" s="609"/>
      <c r="CJ42" s="609"/>
      <c r="CK42" s="609"/>
      <c r="CL42" s="452" t="str">
        <f>IF(humanity&gt;=4,"O","")</f>
        <v>O</v>
      </c>
      <c r="CM42" s="608" t="str">
        <f>CONCATENATE(" ",L53," ",IF(streetspec&lt;&gt;"",CONCATENATE("(",streetspec,")"),""))</f>
        <v xml:space="preserve"> Streetwise </v>
      </c>
      <c r="CN42" s="609"/>
      <c r="CO42" s="609"/>
      <c r="CP42" s="609"/>
      <c r="CQ42" s="609" t="str">
        <f t="shared" si="16"/>
        <v/>
      </c>
      <c r="CR42" s="610"/>
    </row>
    <row r="43" spans="2:96" ht="14.25" customHeight="1" x14ac:dyDescent="0.2">
      <c r="B43" s="771" t="str">
        <f>CONCATENATE("Status (",covenant1,")")</f>
        <v>Status ()</v>
      </c>
      <c r="C43" s="772"/>
      <c r="D43" s="472">
        <f>F43</f>
        <v>0</v>
      </c>
      <c r="E43" s="149" t="s">
        <v>1139</v>
      </c>
      <c r="F43" s="129"/>
      <c r="G43" s="413" t="s">
        <v>1140</v>
      </c>
      <c r="H43" s="413"/>
      <c r="I43" s="472"/>
      <c r="J43" s="426" t="s">
        <v>14</v>
      </c>
      <c r="L43" s="773" t="s">
        <v>1126</v>
      </c>
      <c r="M43" s="774"/>
      <c r="N43" s="128">
        <f t="shared" si="17"/>
        <v>0</v>
      </c>
      <c r="O43" s="35"/>
      <c r="P43" s="37"/>
      <c r="Q43" s="38">
        <f t="shared" si="18"/>
        <v>3</v>
      </c>
      <c r="R43" s="38">
        <f t="shared" si="19"/>
        <v>3</v>
      </c>
      <c r="S43" s="765"/>
      <c r="T43" s="766"/>
      <c r="U43" s="766"/>
      <c r="V43" s="767"/>
      <c r="W43" s="129"/>
      <c r="X43" s="37"/>
      <c r="Y43" s="130">
        <f t="shared" si="20"/>
        <v>0</v>
      </c>
      <c r="AD43" s="96">
        <v>3</v>
      </c>
      <c r="AE43" s="98" t="s">
        <v>831</v>
      </c>
      <c r="AF43" s="99" t="s">
        <v>832</v>
      </c>
      <c r="AG43" s="100" t="s">
        <v>833</v>
      </c>
      <c r="AH43" s="100" t="s">
        <v>834</v>
      </c>
      <c r="AI43" s="367" t="s">
        <v>835</v>
      </c>
      <c r="AJ43" s="553"/>
      <c r="AM43" s="341" t="s">
        <v>1935</v>
      </c>
      <c r="AN43" s="267" t="s">
        <v>1664</v>
      </c>
      <c r="AO43" s="143" t="s">
        <v>2239</v>
      </c>
      <c r="AP43" s="143">
        <v>1</v>
      </c>
      <c r="AQ43" s="143"/>
      <c r="AR43" s="143"/>
      <c r="AS43" s="143"/>
      <c r="AT43" s="143">
        <v>1</v>
      </c>
      <c r="AU43" s="143" t="str">
        <f>IF(AND(covenant1="Carthian",empathy&gt;1),"Yes","No")</f>
        <v>No</v>
      </c>
      <c r="AV43" s="143" t="s">
        <v>14</v>
      </c>
      <c r="AW43" s="62">
        <f t="shared" ca="1" si="0"/>
        <v>0</v>
      </c>
      <c r="AX43" s="585" t="s">
        <v>1871</v>
      </c>
      <c r="AY43" s="276" t="s">
        <v>1074</v>
      </c>
      <c r="AZ43" s="275" t="s">
        <v>12</v>
      </c>
      <c r="BA43" s="275" t="s">
        <v>12</v>
      </c>
      <c r="BB43" s="276" t="s">
        <v>1872</v>
      </c>
      <c r="BC43" s="275" t="s">
        <v>1872</v>
      </c>
      <c r="BD43" s="276">
        <v>4</v>
      </c>
      <c r="BE43" s="275" t="s">
        <v>12</v>
      </c>
      <c r="BF43" s="275" t="s">
        <v>1873</v>
      </c>
      <c r="BG43" s="275" t="str">
        <f>IF(covenant1="Invictus","Yes","No")</f>
        <v>No</v>
      </c>
      <c r="BH43" s="275" t="str">
        <f>IF(covenant1="Invictus","Local","Unavailable")</f>
        <v>Unavailable</v>
      </c>
      <c r="CC43" s="608" t="str">
        <f t="shared" si="8"/>
        <v/>
      </c>
      <c r="CD43" s="609"/>
      <c r="CE43" s="609"/>
      <c r="CF43" s="609" t="str">
        <f t="shared" si="9"/>
        <v/>
      </c>
      <c r="CG43" s="610"/>
      <c r="CH43" s="609" t="str">
        <f t="shared" si="15"/>
        <v xml:space="preserve">    3</v>
      </c>
      <c r="CI43" s="609"/>
      <c r="CJ43" s="609"/>
      <c r="CK43" s="609"/>
      <c r="CL43" s="452" t="str">
        <f>IF(humanity&gt;=3,"O","")</f>
        <v>O</v>
      </c>
      <c r="CM43" s="611" t="str">
        <f>CONCATENATE(" ",L54," ",IF(subtspec&lt;&gt;"",CONCATENATE("(",subtspec,")"),""))</f>
        <v xml:space="preserve"> Subterfuge </v>
      </c>
      <c r="CN43" s="612"/>
      <c r="CO43" s="612"/>
      <c r="CP43" s="612"/>
      <c r="CQ43" s="612" t="str">
        <f t="shared" si="16"/>
        <v/>
      </c>
      <c r="CR43" s="613"/>
    </row>
    <row r="44" spans="2:96" ht="14.25" customHeight="1" x14ac:dyDescent="0.2">
      <c r="B44" s="725" t="s">
        <v>1141</v>
      </c>
      <c r="C44" s="726"/>
      <c r="D44" s="472">
        <f>F44</f>
        <v>0</v>
      </c>
      <c r="E44" s="149" t="s">
        <v>1139</v>
      </c>
      <c r="F44" s="129"/>
      <c r="G44" s="413" t="s">
        <v>1140</v>
      </c>
      <c r="H44" s="413"/>
      <c r="I44" s="472"/>
      <c r="J44" s="426" t="s">
        <v>14</v>
      </c>
      <c r="L44" s="773" t="s">
        <v>1127</v>
      </c>
      <c r="M44" s="774"/>
      <c r="N44" s="128">
        <f t="shared" si="17"/>
        <v>0</v>
      </c>
      <c r="O44" s="35"/>
      <c r="P44" s="37"/>
      <c r="Q44" s="38">
        <f t="shared" si="18"/>
        <v>3</v>
      </c>
      <c r="R44" s="38">
        <f t="shared" si="19"/>
        <v>3</v>
      </c>
      <c r="S44" s="765"/>
      <c r="T44" s="766"/>
      <c r="U44" s="766"/>
      <c r="V44" s="767"/>
      <c r="W44" s="129"/>
      <c r="X44" s="37"/>
      <c r="Y44" s="130">
        <f t="shared" si="20"/>
        <v>0</v>
      </c>
      <c r="AD44" s="96">
        <v>4</v>
      </c>
      <c r="AE44" s="98" t="s">
        <v>836</v>
      </c>
      <c r="AF44" s="99" t="s">
        <v>837</v>
      </c>
      <c r="AG44" s="100" t="s">
        <v>838</v>
      </c>
      <c r="AH44" s="100" t="s">
        <v>839</v>
      </c>
      <c r="AI44" s="367" t="s">
        <v>840</v>
      </c>
      <c r="AJ44" s="554"/>
      <c r="AM44" s="341" t="s">
        <v>1936</v>
      </c>
      <c r="AN44" s="267" t="s">
        <v>1666</v>
      </c>
      <c r="AO44" s="143" t="s">
        <v>1180</v>
      </c>
      <c r="AP44" s="143">
        <v>4</v>
      </c>
      <c r="AQ44" s="143"/>
      <c r="AR44" s="143"/>
      <c r="AS44" s="143"/>
      <c r="AT44" s="143">
        <v>4</v>
      </c>
      <c r="AU44" s="143" t="s">
        <v>806</v>
      </c>
      <c r="AV44" s="143" t="s">
        <v>14</v>
      </c>
      <c r="AW44" s="62">
        <f t="shared" ca="1" si="0"/>
        <v>0</v>
      </c>
      <c r="AX44" s="585" t="s">
        <v>1874</v>
      </c>
      <c r="AY44" s="276" t="s">
        <v>1074</v>
      </c>
      <c r="AZ44" s="276" t="s">
        <v>2224</v>
      </c>
      <c r="BA44" s="275" t="s">
        <v>12</v>
      </c>
      <c r="BB44" s="276" t="s">
        <v>1875</v>
      </c>
      <c r="BC44" s="275" t="s">
        <v>1868</v>
      </c>
      <c r="BD44" s="276">
        <v>5</v>
      </c>
      <c r="BE44" s="275" t="s">
        <v>12</v>
      </c>
      <c r="BF44" s="275" t="s">
        <v>12</v>
      </c>
      <c r="BG44" s="275" t="str">
        <f>IF(AND(covenant1="Invictus",BP&gt;1),"Yes","No")</f>
        <v>No</v>
      </c>
      <c r="BH44" s="275" t="str">
        <f>IF(covenant1="Invictus","Local","Unavailable")</f>
        <v>Unavailable</v>
      </c>
      <c r="CC44" s="608" t="str">
        <f t="shared" si="8"/>
        <v/>
      </c>
      <c r="CD44" s="609"/>
      <c r="CE44" s="609"/>
      <c r="CF44" s="609" t="str">
        <f t="shared" si="9"/>
        <v/>
      </c>
      <c r="CG44" s="610"/>
      <c r="CH44" s="609" t="str">
        <f t="shared" si="15"/>
        <v xml:space="preserve">    2</v>
      </c>
      <c r="CI44" s="609"/>
      <c r="CJ44" s="609"/>
      <c r="CK44" s="609"/>
      <c r="CL44" s="476" t="str">
        <f>IF(humanity&gt;=2,"O","")</f>
        <v>O</v>
      </c>
      <c r="CM44" s="890" t="s">
        <v>2180</v>
      </c>
      <c r="CN44" s="890"/>
      <c r="CO44" s="890"/>
      <c r="CP44" s="890"/>
      <c r="CQ44" s="890"/>
      <c r="CR44" s="891"/>
    </row>
    <row r="45" spans="2:96" ht="14.25" customHeight="1" x14ac:dyDescent="0.2">
      <c r="B45" s="771" t="str">
        <f>CONCATENATE("Status (",dualcov,")")</f>
        <v>Status ()</v>
      </c>
      <c r="C45" s="772"/>
      <c r="D45" s="472">
        <f>F45</f>
        <v>0</v>
      </c>
      <c r="E45" s="149" t="s">
        <v>1139</v>
      </c>
      <c r="F45" s="129"/>
      <c r="G45" s="413" t="s">
        <v>1140</v>
      </c>
      <c r="H45" s="413"/>
      <c r="I45" s="472"/>
      <c r="J45" s="426" t="str">
        <f>IF(D45&gt;0,"Genre","")</f>
        <v/>
      </c>
      <c r="L45" s="418"/>
      <c r="M45" s="419"/>
      <c r="N45" s="114"/>
      <c r="O45" s="131">
        <f>(IF(skillpriority=5,11,IF(skillpriority=6,11,IF(skillpriority=2,7,IF(skillpriority=3,7,IF(skillpriority=1,4,IF(skillpriority=4,4,0)))))))-SUM(O37:O44)</f>
        <v>0</v>
      </c>
      <c r="P45" s="781" t="s">
        <v>766</v>
      </c>
      <c r="Q45" s="781"/>
      <c r="R45" s="781"/>
      <c r="S45" s="775"/>
      <c r="T45" s="775"/>
      <c r="U45" s="775"/>
      <c r="V45" s="775"/>
      <c r="W45" s="423"/>
      <c r="X45" s="132"/>
      <c r="Y45" s="30"/>
      <c r="AD45" s="96">
        <v>5</v>
      </c>
      <c r="AE45" s="98" t="s">
        <v>841</v>
      </c>
      <c r="AF45" s="99" t="s">
        <v>842</v>
      </c>
      <c r="AG45" s="100" t="s">
        <v>843</v>
      </c>
      <c r="AH45" s="100" t="s">
        <v>844</v>
      </c>
      <c r="AI45" s="101" t="s">
        <v>845</v>
      </c>
      <c r="AJ45" s="144" t="s">
        <v>1284</v>
      </c>
      <c r="AK45" s="144" t="s">
        <v>1285</v>
      </c>
      <c r="AL45" s="145" t="s">
        <v>1138</v>
      </c>
      <c r="AM45" s="341" t="s">
        <v>1937</v>
      </c>
      <c r="AN45" s="267" t="s">
        <v>1704</v>
      </c>
      <c r="AO45" s="143" t="s">
        <v>1181</v>
      </c>
      <c r="AP45" s="143">
        <v>2</v>
      </c>
      <c r="AQ45" s="143"/>
      <c r="AR45" s="143"/>
      <c r="AS45" s="143"/>
      <c r="AT45" s="143">
        <v>2</v>
      </c>
      <c r="AU45" s="143" t="str">
        <f>IF(AND(dexterity&gt;1,brawl&gt;2),"Yes","No")</f>
        <v>No</v>
      </c>
      <c r="AV45" s="143" t="s">
        <v>14</v>
      </c>
      <c r="AW45" s="62">
        <f t="shared" ca="1" si="0"/>
        <v>0</v>
      </c>
      <c r="AX45" s="585" t="s">
        <v>1876</v>
      </c>
      <c r="AY45" s="276" t="s">
        <v>1074</v>
      </c>
      <c r="AZ45" s="276" t="s">
        <v>198</v>
      </c>
      <c r="BA45" s="276" t="s">
        <v>209</v>
      </c>
      <c r="BB45" s="276" t="s">
        <v>12</v>
      </c>
      <c r="BC45" s="276" t="s">
        <v>1869</v>
      </c>
      <c r="BD45" s="276">
        <v>10</v>
      </c>
      <c r="BE45" s="276">
        <f>presence+intimidation+dominate-IF(intimidation=0,1,0)</f>
        <v>0</v>
      </c>
      <c r="BF45" s="277" t="s">
        <v>1877</v>
      </c>
      <c r="BG45" s="276" t="str">
        <f>IF(AND(auspex&gt;1,dominate&gt;0,covenant1="Invictus"),"Yes","No")</f>
        <v>No</v>
      </c>
      <c r="BH45" s="275" t="str">
        <f>IF(covenant1="Invictus","Local","Unavailable")</f>
        <v>Unavailable</v>
      </c>
      <c r="CC45" s="608" t="str">
        <f t="shared" si="8"/>
        <v/>
      </c>
      <c r="CD45" s="609"/>
      <c r="CE45" s="609"/>
      <c r="CF45" s="609" t="str">
        <f t="shared" si="9"/>
        <v/>
      </c>
      <c r="CG45" s="610"/>
      <c r="CH45" s="612" t="str">
        <f t="shared" si="15"/>
        <v xml:space="preserve">    1</v>
      </c>
      <c r="CI45" s="612"/>
      <c r="CJ45" s="612"/>
      <c r="CK45" s="612"/>
      <c r="CL45" s="478" t="str">
        <f>IF(humanity&gt;=1,"O","")</f>
        <v>O</v>
      </c>
      <c r="CM45" s="660" t="str">
        <f ca="1">VLOOKUP(health,dotchart,4,FALSE)</f>
        <v>OOOOOO</v>
      </c>
      <c r="CN45" s="660"/>
      <c r="CO45" s="660"/>
      <c r="CP45" s="660"/>
      <c r="CQ45" s="660"/>
      <c r="CR45" s="661"/>
    </row>
    <row r="46" spans="2:96" ht="14.25" customHeight="1" x14ac:dyDescent="0.2">
      <c r="B46" s="719"/>
      <c r="C46" s="720"/>
      <c r="D46" s="472">
        <f t="shared" ref="D46:D90" si="21">IF(AJ46=-1, (IF(AK46=1,(VLOOKUP((((VLOOKUP(E46,mult_chart,2,FALSE)*2)+(F46*2))/2),mult_chart2,2,TRUE)+G46),(VLOOKUP((((VLOOKUP(E46,mult_chart,2,FALSE)*2)+F46)/2),mult_chart2,2,TRUE)+G46))), (ROUNDDOWN((((E46*2)+F46)/2),0)+G46))</f>
        <v>0</v>
      </c>
      <c r="E46" s="178"/>
      <c r="F46" s="178"/>
      <c r="G46" s="178"/>
      <c r="H46" s="429">
        <f>IF(B46&lt;&gt;"",IF(OR(AND(AJ46=-1,D46&lt;(VLOOKUP(B46,MeritTable,6,TRUE))),AND(AJ46&lt;&gt;-1,AL46&lt;=AJ46)),IF(AJ46=-1,IF(AK46=1,ROUNDUP((((AL46+1)*2)/2),0),((AL46+1)*2)),(((AJ46-E46)*2)-F46) ),0),0)</f>
        <v>0</v>
      </c>
      <c r="I46" s="429">
        <f t="shared" ref="I46:I90" si="22">F46+H46</f>
        <v>0</v>
      </c>
      <c r="J46" s="151" t="str">
        <f>IFERROR(VLOOKUP(B46,MeritTable,8,FALSE),"")</f>
        <v/>
      </c>
      <c r="L46" s="738" t="s">
        <v>771</v>
      </c>
      <c r="M46" s="739"/>
      <c r="N46" s="114"/>
      <c r="O46" s="46"/>
      <c r="P46" s="46"/>
      <c r="Q46" s="780"/>
      <c r="R46" s="780"/>
      <c r="S46" s="423"/>
      <c r="T46" s="423"/>
      <c r="U46" s="423"/>
      <c r="V46" s="423"/>
      <c r="W46" s="423"/>
      <c r="X46" s="132"/>
      <c r="Y46" s="30"/>
      <c r="AD46" s="96">
        <v>6</v>
      </c>
      <c r="AE46" s="98" t="s">
        <v>846</v>
      </c>
      <c r="AF46" s="99" t="s">
        <v>847</v>
      </c>
      <c r="AG46" s="100" t="s">
        <v>848</v>
      </c>
      <c r="AH46" s="100" t="s">
        <v>849</v>
      </c>
      <c r="AI46" s="101" t="s">
        <v>850</v>
      </c>
      <c r="AJ46" s="146">
        <f t="shared" ref="AJ46:AJ90" si="23">IF(B46&lt;&gt;"",IF((VLOOKUP(B46,MeritTable,2,TRUE))="Grad",-1,(VLOOKUP(B46,MeritTable,2,TRUE)) ),0)</f>
        <v>0</v>
      </c>
      <c r="AK46" s="146">
        <f t="shared" ref="AK46:AK90" si="24">IF(covenant1&lt;&gt;"",IF(OR(VLOOKUP(B46,MeritTable,4,TRUE)="Yes",VLOOKUP(B46,MeritTable,5,TRUE)="Yes"),1,0),0)</f>
        <v>0</v>
      </c>
      <c r="AL46" s="147">
        <f t="shared" ref="AL46:AL90" si="25">IF(AJ46=-1, (IF(AK46=1,(VLOOKUP((((VLOOKUP(E46,mult_chart,2,FALSE)*2)+(F46*2))/2),mult_chart2,2,TRUE)),(VLOOKUP((((VLOOKUP(E46,mult_chart,2,FALSE)*2)+F46)/2),mult_chart2,2,TRUE)))), (ROUNDDOWN((((E46*2)+F46)/2),0)))</f>
        <v>0</v>
      </c>
      <c r="AM46" s="341" t="s">
        <v>1938</v>
      </c>
      <c r="AN46" s="267" t="s">
        <v>1648</v>
      </c>
      <c r="AO46" s="143" t="s">
        <v>1182</v>
      </c>
      <c r="AP46" s="143">
        <v>2</v>
      </c>
      <c r="AQ46" s="143"/>
      <c r="AR46" s="143"/>
      <c r="AS46" s="143"/>
      <c r="AT46" s="143">
        <v>2</v>
      </c>
      <c r="AU46" s="143" t="str">
        <f>IF(AND(dexterity&gt;2,brawl&gt;2,weaponry&gt;1),"Yes","No")</f>
        <v>No</v>
      </c>
      <c r="AV46" s="143" t="s">
        <v>14</v>
      </c>
      <c r="AW46" s="62">
        <f t="shared" ca="1" si="0"/>
        <v>0</v>
      </c>
      <c r="AX46" s="585" t="s">
        <v>1878</v>
      </c>
      <c r="AY46" s="276" t="s">
        <v>1074</v>
      </c>
      <c r="AZ46" s="276" t="s">
        <v>198</v>
      </c>
      <c r="BA46" s="275" t="s">
        <v>225</v>
      </c>
      <c r="BB46" s="276" t="s">
        <v>1879</v>
      </c>
      <c r="BC46" s="276" t="s">
        <v>1880</v>
      </c>
      <c r="BD46" s="276">
        <v>20</v>
      </c>
      <c r="BE46" s="275">
        <f>presence + expression + majesty - IF(expression=0,1,0)</f>
        <v>0</v>
      </c>
      <c r="BF46" s="275" t="s">
        <v>12</v>
      </c>
      <c r="BG46" s="275" t="str">
        <f>IF(AND(covenant1="Invictus",auspex&gt;1,majesty&gt;1),"Yes","No")</f>
        <v>No</v>
      </c>
      <c r="BH46" s="275" t="str">
        <f>IF(covenant1="Invictus","Local","Unavailable")</f>
        <v>Unavailable</v>
      </c>
      <c r="CC46" s="608" t="str">
        <f t="shared" si="8"/>
        <v/>
      </c>
      <c r="CD46" s="609"/>
      <c r="CE46" s="609"/>
      <c r="CF46" s="609" t="str">
        <f t="shared" si="9"/>
        <v/>
      </c>
      <c r="CG46" s="610"/>
      <c r="CH46" s="660" t="str">
        <f ca="1">CONCATENATE("Size: ",Size)</f>
        <v>Size: 5</v>
      </c>
      <c r="CI46" s="660"/>
      <c r="CJ46" s="660" t="str">
        <f ca="1">CONCATENATE("Initiative Mod:  ",initiativeadj)</f>
        <v>Initiative Mod:  2</v>
      </c>
      <c r="CK46" s="660"/>
      <c r="CL46" s="661"/>
      <c r="CM46" s="611" t="str">
        <f ca="1">VLOOKUP(health,dotchart,5,FALSE)</f>
        <v xml:space="preserve">[ ][ ][ ][ ][ ][ ] </v>
      </c>
      <c r="CN46" s="612"/>
      <c r="CO46" s="612"/>
      <c r="CP46" s="612"/>
      <c r="CQ46" s="612"/>
      <c r="CR46" s="613"/>
    </row>
    <row r="47" spans="2:96" ht="14.25" customHeight="1" x14ac:dyDescent="0.2">
      <c r="B47" s="719"/>
      <c r="C47" s="720"/>
      <c r="D47" s="563">
        <f t="shared" si="21"/>
        <v>0</v>
      </c>
      <c r="E47" s="178"/>
      <c r="F47" s="178"/>
      <c r="G47" s="178"/>
      <c r="H47" s="429">
        <f t="shared" ref="H47:H90" si="26">IF(B47&lt;&gt;"",IF(OR(AND(AJ47=-1,D47&lt;(VLOOKUP(B47,MeritTable,6,TRUE))),AND(AJ47&lt;&gt;-1,AL47&lt;=AJ47)),IF(AJ47=-1,IF(AK47=1,ROUNDUP((((AL47+1)*2)/2),0),((AL47+1)*2)),(((AJ47-E47)*2)-F47) ),0),0)</f>
        <v>0</v>
      </c>
      <c r="I47" s="429">
        <f t="shared" si="22"/>
        <v>0</v>
      </c>
      <c r="J47" s="151" t="str">
        <f t="shared" ref="J47:J90" si="27">IFERROR(VLOOKUP(B47,MeritTable,8,FALSE),"")</f>
        <v/>
      </c>
      <c r="L47" s="773" t="s">
        <v>1128</v>
      </c>
      <c r="M47" s="774"/>
      <c r="N47" s="128">
        <f t="shared" ref="N47:N54" si="28">VLOOKUP((((VLOOKUP(IF(O47=6,5,IF(O47=5,0,O47)),mult_chart,2,FALSE)*3)+P47)/3),mult_chart2,2,TRUE)</f>
        <v>0</v>
      </c>
      <c r="O47" s="35"/>
      <c r="P47" s="37"/>
      <c r="Q47" s="38">
        <f t="shared" ref="Q47:Q54" si="29">IF(N47&lt;(VLOOKUP(BP,bpchart,2,FALSE)),((N47+1)*3),0)</f>
        <v>3</v>
      </c>
      <c r="R47" s="38">
        <f t="shared" ref="R47:R54" si="30">Q47+P47</f>
        <v>3</v>
      </c>
      <c r="S47" s="765"/>
      <c r="T47" s="766"/>
      <c r="U47" s="766"/>
      <c r="V47" s="767"/>
      <c r="W47" s="129"/>
      <c r="X47" s="37"/>
      <c r="Y47" s="130">
        <f t="shared" ref="Y47:Y54" si="31">X47/3+W47</f>
        <v>0</v>
      </c>
      <c r="AD47" s="96">
        <v>7</v>
      </c>
      <c r="AE47" s="98" t="s">
        <v>851</v>
      </c>
      <c r="AF47" s="99" t="s">
        <v>852</v>
      </c>
      <c r="AG47" s="100" t="s">
        <v>853</v>
      </c>
      <c r="AH47" s="100" t="s">
        <v>854</v>
      </c>
      <c r="AI47" s="101" t="s">
        <v>855</v>
      </c>
      <c r="AJ47" s="146">
        <f t="shared" si="23"/>
        <v>0</v>
      </c>
      <c r="AK47" s="146">
        <f t="shared" si="24"/>
        <v>0</v>
      </c>
      <c r="AL47" s="147">
        <f t="shared" si="25"/>
        <v>0</v>
      </c>
      <c r="AM47" s="341" t="s">
        <v>1939</v>
      </c>
      <c r="AN47" s="267" t="s">
        <v>1668</v>
      </c>
      <c r="AO47" s="143" t="s">
        <v>1183</v>
      </c>
      <c r="AP47" s="143" t="s">
        <v>1151</v>
      </c>
      <c r="AQ47" s="143"/>
      <c r="AR47" s="143"/>
      <c r="AS47" s="143"/>
      <c r="AT47" s="143">
        <v>3</v>
      </c>
      <c r="AU47" s="143" t="s">
        <v>806</v>
      </c>
      <c r="AV47" s="143" t="s">
        <v>14</v>
      </c>
      <c r="AW47" s="62">
        <f t="shared" ca="1" si="0"/>
        <v>0</v>
      </c>
      <c r="AX47" s="585" t="s">
        <v>1881</v>
      </c>
      <c r="AY47" s="276" t="s">
        <v>1074</v>
      </c>
      <c r="AZ47" s="276" t="s">
        <v>198</v>
      </c>
      <c r="BA47" s="275" t="s">
        <v>223</v>
      </c>
      <c r="BB47" s="276" t="s">
        <v>1870</v>
      </c>
      <c r="BC47" s="276" t="s">
        <v>1869</v>
      </c>
      <c r="BD47" s="276">
        <v>12</v>
      </c>
      <c r="BE47" s="275">
        <f>presence + empathy + majesty - IF(empathy=0,1,0)</f>
        <v>0</v>
      </c>
      <c r="BF47" s="277" t="s">
        <v>1877</v>
      </c>
      <c r="BG47" s="276" t="str">
        <f>IF(AND(covenant1="Invictus",auspex&gt;1,majesty&gt;0),"Yes","No")</f>
        <v>No</v>
      </c>
      <c r="BH47" s="275" t="str">
        <f>IF(covenant1="Invictus","Local","Unavailable")</f>
        <v>Unavailable</v>
      </c>
      <c r="CC47" s="608" t="str">
        <f t="shared" si="8"/>
        <v/>
      </c>
      <c r="CD47" s="609"/>
      <c r="CE47" s="609"/>
      <c r="CF47" s="609" t="str">
        <f t="shared" si="9"/>
        <v/>
      </c>
      <c r="CG47" s="610"/>
      <c r="CH47" s="609" t="str">
        <f>CONCATENATE("Defense: ",defenseadj)</f>
        <v>Defense: 1</v>
      </c>
      <c r="CI47" s="609"/>
      <c r="CJ47" s="609" t="str">
        <f ca="1">CONCATENATE("Running Speed:  ",speedadj)</f>
        <v>Running Speed:  7</v>
      </c>
      <c r="CK47" s="609"/>
      <c r="CL47" s="610"/>
      <c r="CM47" s="668" t="s">
        <v>2181</v>
      </c>
      <c r="CN47" s="669"/>
      <c r="CO47" s="669"/>
      <c r="CP47" s="669"/>
      <c r="CQ47" s="669"/>
      <c r="CR47" s="670"/>
    </row>
    <row r="48" spans="2:96" ht="14.25" customHeight="1" x14ac:dyDescent="0.2">
      <c r="B48" s="719"/>
      <c r="C48" s="720"/>
      <c r="D48" s="563">
        <f t="shared" si="21"/>
        <v>0</v>
      </c>
      <c r="E48" s="178"/>
      <c r="F48" s="178"/>
      <c r="G48" s="178"/>
      <c r="H48" s="429">
        <f t="shared" si="26"/>
        <v>0</v>
      </c>
      <c r="I48" s="429">
        <f t="shared" si="22"/>
        <v>0</v>
      </c>
      <c r="J48" s="151" t="str">
        <f t="shared" si="27"/>
        <v/>
      </c>
      <c r="L48" s="773" t="s">
        <v>1129</v>
      </c>
      <c r="M48" s="774"/>
      <c r="N48" s="128">
        <f t="shared" si="28"/>
        <v>0</v>
      </c>
      <c r="O48" s="35"/>
      <c r="P48" s="37"/>
      <c r="Q48" s="38">
        <f t="shared" si="29"/>
        <v>3</v>
      </c>
      <c r="R48" s="38">
        <f t="shared" si="30"/>
        <v>3</v>
      </c>
      <c r="S48" s="765"/>
      <c r="T48" s="766"/>
      <c r="U48" s="766"/>
      <c r="V48" s="767"/>
      <c r="W48" s="129"/>
      <c r="X48" s="37"/>
      <c r="Y48" s="130">
        <f t="shared" si="31"/>
        <v>0</v>
      </c>
      <c r="AD48" s="96">
        <v>8</v>
      </c>
      <c r="AE48" s="98" t="s">
        <v>856</v>
      </c>
      <c r="AF48" s="99" t="s">
        <v>857</v>
      </c>
      <c r="AG48" s="100" t="s">
        <v>858</v>
      </c>
      <c r="AH48" s="100" t="s">
        <v>859</v>
      </c>
      <c r="AI48" s="101" t="s">
        <v>860</v>
      </c>
      <c r="AJ48" s="146">
        <f t="shared" si="23"/>
        <v>0</v>
      </c>
      <c r="AK48" s="146">
        <f t="shared" si="24"/>
        <v>0</v>
      </c>
      <c r="AL48" s="147">
        <f t="shared" si="25"/>
        <v>0</v>
      </c>
      <c r="AM48" s="341" t="s">
        <v>1940</v>
      </c>
      <c r="AN48" s="267" t="s">
        <v>1651</v>
      </c>
      <c r="AO48" s="143" t="s">
        <v>1184</v>
      </c>
      <c r="AP48" s="143">
        <v>1</v>
      </c>
      <c r="AQ48" s="143"/>
      <c r="AR48" s="143"/>
      <c r="AS48" s="143"/>
      <c r="AT48" s="143">
        <v>1</v>
      </c>
      <c r="AU48" s="143" t="str">
        <f>IF(dexterity&gt;2,"Yes","No")</f>
        <v>No</v>
      </c>
      <c r="AV48" s="143" t="s">
        <v>14</v>
      </c>
      <c r="AW48" s="62">
        <f t="shared" ca="1" si="0"/>
        <v>0</v>
      </c>
      <c r="AX48" s="585" t="s">
        <v>1887</v>
      </c>
      <c r="AY48" s="275" t="s">
        <v>1074</v>
      </c>
      <c r="AZ48" s="275" t="s">
        <v>198</v>
      </c>
      <c r="BA48" s="275" t="s">
        <v>209</v>
      </c>
      <c r="BB48" s="276" t="s">
        <v>1869</v>
      </c>
      <c r="BC48" s="276" t="s">
        <v>1875</v>
      </c>
      <c r="BD48" s="275">
        <v>12</v>
      </c>
      <c r="BE48" s="276">
        <f>presence + intimidation + dominate - IF(intimidation=0,1,0)</f>
        <v>0</v>
      </c>
      <c r="BF48" s="277" t="s">
        <v>1877</v>
      </c>
      <c r="BG48" s="276" t="str">
        <f>IF(AND(auspex&gt;1,dominate&gt;0,covenant1="Invictus"),"Yes","No")</f>
        <v>No</v>
      </c>
      <c r="BH48" s="275" t="str">
        <f>IF(covenant1="Invictus","Local","Unavailable")</f>
        <v>Unavailable</v>
      </c>
      <c r="CC48" s="608" t="str">
        <f t="shared" si="8"/>
        <v/>
      </c>
      <c r="CD48" s="609"/>
      <c r="CE48" s="609"/>
      <c r="CF48" s="609" t="str">
        <f t="shared" si="9"/>
        <v/>
      </c>
      <c r="CG48" s="610"/>
      <c r="CH48" s="609" t="str">
        <f>CONCATENATE("Armor: ",IF(armour&gt;0,armour,0)," / ",IF(armourgun&gt;0,armourgun,0))</f>
        <v>Armor: 0 / 0</v>
      </c>
      <c r="CI48" s="609"/>
      <c r="CJ48" s="609" t="str">
        <f>CONCATENATE("Resist Frenzy:","  ",(resolve+composure))</f>
        <v>Resist Frenzy:  2</v>
      </c>
      <c r="CK48" s="609"/>
      <c r="CL48" s="610"/>
      <c r="CM48" s="608" t="str">
        <f>VLOOKUP(willpower,dotchart,4,FALSE)</f>
        <v>OO</v>
      </c>
      <c r="CN48" s="609"/>
      <c r="CO48" s="609"/>
      <c r="CP48" s="609"/>
      <c r="CQ48" s="609"/>
      <c r="CR48" s="610"/>
    </row>
    <row r="49" spans="2:96" ht="14.25" customHeight="1" x14ac:dyDescent="0.2">
      <c r="B49" s="719"/>
      <c r="C49" s="720"/>
      <c r="D49" s="563">
        <f t="shared" si="21"/>
        <v>0</v>
      </c>
      <c r="E49" s="178"/>
      <c r="F49" s="178"/>
      <c r="G49" s="178"/>
      <c r="H49" s="429">
        <f t="shared" si="26"/>
        <v>0</v>
      </c>
      <c r="I49" s="429">
        <f t="shared" si="22"/>
        <v>0</v>
      </c>
      <c r="J49" s="151" t="str">
        <f t="shared" si="27"/>
        <v/>
      </c>
      <c r="L49" s="773" t="s">
        <v>1130</v>
      </c>
      <c r="M49" s="774"/>
      <c r="N49" s="128">
        <f t="shared" si="28"/>
        <v>0</v>
      </c>
      <c r="O49" s="35"/>
      <c r="P49" s="37"/>
      <c r="Q49" s="38">
        <f t="shared" si="29"/>
        <v>3</v>
      </c>
      <c r="R49" s="38">
        <f t="shared" si="30"/>
        <v>3</v>
      </c>
      <c r="S49" s="765"/>
      <c r="T49" s="766"/>
      <c r="U49" s="766"/>
      <c r="V49" s="767"/>
      <c r="W49" s="129"/>
      <c r="X49" s="37"/>
      <c r="Y49" s="130">
        <f t="shared" si="31"/>
        <v>0</v>
      </c>
      <c r="AD49" s="96">
        <v>9</v>
      </c>
      <c r="AE49" s="98" t="s">
        <v>861</v>
      </c>
      <c r="AF49" s="99" t="s">
        <v>862</v>
      </c>
      <c r="AG49" s="100" t="s">
        <v>863</v>
      </c>
      <c r="AH49" s="100" t="s">
        <v>864</v>
      </c>
      <c r="AI49" s="101" t="s">
        <v>865</v>
      </c>
      <c r="AJ49" s="146">
        <f t="shared" si="23"/>
        <v>0</v>
      </c>
      <c r="AK49" s="146">
        <f t="shared" si="24"/>
        <v>0</v>
      </c>
      <c r="AL49" s="147">
        <f t="shared" si="25"/>
        <v>0</v>
      </c>
      <c r="AM49" s="341" t="s">
        <v>1941</v>
      </c>
      <c r="AN49" s="267" t="s">
        <v>1686</v>
      </c>
      <c r="AO49" s="143" t="s">
        <v>1185</v>
      </c>
      <c r="AP49" s="143">
        <v>2</v>
      </c>
      <c r="AQ49" s="143"/>
      <c r="AR49" s="143"/>
      <c r="AS49" s="143"/>
      <c r="AT49" s="143">
        <v>2</v>
      </c>
      <c r="AU49" s="143" t="str">
        <f>IF(dexterity&gt;2,"Yes","No")</f>
        <v>No</v>
      </c>
      <c r="AV49" s="143" t="s">
        <v>14</v>
      </c>
      <c r="AW49" s="62">
        <f t="shared" ca="1" si="0"/>
        <v>0</v>
      </c>
      <c r="AX49" s="585" t="s">
        <v>1884</v>
      </c>
      <c r="AY49" s="275" t="s">
        <v>1074</v>
      </c>
      <c r="AZ49" s="275" t="s">
        <v>12</v>
      </c>
      <c r="BA49" s="275" t="s">
        <v>12</v>
      </c>
      <c r="BB49" s="276" t="s">
        <v>1880</v>
      </c>
      <c r="BC49" s="275" t="s">
        <v>12</v>
      </c>
      <c r="BD49" s="276">
        <v>3</v>
      </c>
      <c r="BE49" s="275" t="s">
        <v>12</v>
      </c>
      <c r="BF49" s="275" t="s">
        <v>12</v>
      </c>
      <c r="BG49" s="275" t="str">
        <f>IF(covenant1="Invictus","Yes","No")</f>
        <v>No</v>
      </c>
      <c r="BH49" s="275" t="str">
        <f>IF(covenant1="Invictus","Local","Unavailable")</f>
        <v>Unavailable</v>
      </c>
      <c r="CC49" s="608" t="str">
        <f t="shared" si="8"/>
        <v/>
      </c>
      <c r="CD49" s="609"/>
      <c r="CE49" s="609"/>
      <c r="CF49" s="609" t="str">
        <f t="shared" si="9"/>
        <v/>
      </c>
      <c r="CG49" s="610"/>
      <c r="CH49" s="612" t="str">
        <f>CONCATENATE("Can Feed From: ",VLOOKUP(BP,bpchart,5,FALSE))</f>
        <v>Can Feed From: Animals</v>
      </c>
      <c r="CI49" s="612"/>
      <c r="CJ49" s="612"/>
      <c r="CK49" s="612"/>
      <c r="CL49" s="613"/>
      <c r="CM49" s="608" t="str">
        <f>VLOOKUP(willpower,dotchart,5,FALSE)</f>
        <v xml:space="preserve">[ ][ ] </v>
      </c>
      <c r="CN49" s="609"/>
      <c r="CO49" s="609"/>
      <c r="CP49" s="609"/>
      <c r="CQ49" s="609"/>
      <c r="CR49" s="610"/>
    </row>
    <row r="50" spans="2:96" ht="14.25" customHeight="1" x14ac:dyDescent="0.2">
      <c r="B50" s="719"/>
      <c r="C50" s="720"/>
      <c r="D50" s="563">
        <f t="shared" si="21"/>
        <v>0</v>
      </c>
      <c r="E50" s="178"/>
      <c r="F50" s="178"/>
      <c r="G50" s="178"/>
      <c r="H50" s="429">
        <f t="shared" si="26"/>
        <v>0</v>
      </c>
      <c r="I50" s="429">
        <f t="shared" si="22"/>
        <v>0</v>
      </c>
      <c r="J50" s="151" t="str">
        <f t="shared" si="27"/>
        <v/>
      </c>
      <c r="L50" s="773" t="s">
        <v>1131</v>
      </c>
      <c r="M50" s="774"/>
      <c r="N50" s="128">
        <f t="shared" si="28"/>
        <v>0</v>
      </c>
      <c r="O50" s="35"/>
      <c r="P50" s="37"/>
      <c r="Q50" s="38">
        <f t="shared" si="29"/>
        <v>3</v>
      </c>
      <c r="R50" s="38">
        <f t="shared" si="30"/>
        <v>3</v>
      </c>
      <c r="S50" s="765"/>
      <c r="T50" s="766"/>
      <c r="U50" s="766"/>
      <c r="V50" s="767"/>
      <c r="W50" s="129"/>
      <c r="X50" s="37"/>
      <c r="Y50" s="130">
        <f t="shared" si="31"/>
        <v>0</v>
      </c>
      <c r="AD50" s="96">
        <v>10</v>
      </c>
      <c r="AE50" s="98" t="s">
        <v>866</v>
      </c>
      <c r="AF50" s="99" t="s">
        <v>867</v>
      </c>
      <c r="AG50" s="100" t="s">
        <v>868</v>
      </c>
      <c r="AH50" s="100" t="s">
        <v>869</v>
      </c>
      <c r="AI50" s="101" t="s">
        <v>870</v>
      </c>
      <c r="AJ50" s="146">
        <f t="shared" si="23"/>
        <v>0</v>
      </c>
      <c r="AK50" s="146">
        <f t="shared" si="24"/>
        <v>0</v>
      </c>
      <c r="AL50" s="147">
        <f t="shared" si="25"/>
        <v>0</v>
      </c>
      <c r="AM50" s="341" t="s">
        <v>1942</v>
      </c>
      <c r="AN50" s="267" t="s">
        <v>1653</v>
      </c>
      <c r="AO50" s="143" t="s">
        <v>1186</v>
      </c>
      <c r="AP50" s="143">
        <v>1</v>
      </c>
      <c r="AQ50" s="143"/>
      <c r="AR50" s="143"/>
      <c r="AS50" s="143"/>
      <c r="AT50" s="143">
        <v>1</v>
      </c>
      <c r="AU50" s="143" t="str">
        <f>IF(streetwise&gt;2,"Yes","No")</f>
        <v>No</v>
      </c>
      <c r="AV50" s="143" t="s">
        <v>14</v>
      </c>
      <c r="AW50" s="62">
        <f t="shared" ca="1" si="0"/>
        <v>0</v>
      </c>
      <c r="AX50" s="585" t="s">
        <v>1885</v>
      </c>
      <c r="AY50" s="275" t="s">
        <v>1074</v>
      </c>
      <c r="AZ50" s="275" t="s">
        <v>2224</v>
      </c>
      <c r="BA50" s="275" t="s">
        <v>12</v>
      </c>
      <c r="BB50" s="276" t="s">
        <v>1869</v>
      </c>
      <c r="BC50" s="276" t="s">
        <v>1880</v>
      </c>
      <c r="BD50" s="275">
        <v>12</v>
      </c>
      <c r="BE50" s="276">
        <f>presence+expression+majesty-IF(expression=0,1,0)</f>
        <v>0</v>
      </c>
      <c r="BF50" s="275" t="s">
        <v>12</v>
      </c>
      <c r="BG50" s="275" t="str">
        <f>IF(AND(covenant1="Invictus",BP&gt;1),"Yes","No")</f>
        <v>No</v>
      </c>
      <c r="BH50" s="275" t="str">
        <f>IF(bloodline="Taifa","Local",IF(covenant1="Invictus","Genre","Unavailable"))</f>
        <v>Unavailable</v>
      </c>
      <c r="CC50" s="608" t="str">
        <f t="shared" si="8"/>
        <v/>
      </c>
      <c r="CD50" s="609"/>
      <c r="CE50" s="609"/>
      <c r="CF50" s="609" t="str">
        <f t="shared" si="9"/>
        <v/>
      </c>
      <c r="CG50" s="610"/>
      <c r="CH50" s="910" t="s">
        <v>2204</v>
      </c>
      <c r="CI50" s="911"/>
      <c r="CJ50" s="456"/>
      <c r="CK50" s="456"/>
      <c r="CL50" s="669" t="str">
        <f>CONCATENATE("(",VLOOKUP(BP,bpchart,4,FALSE)," per turn)")</f>
        <v>(1 per turn)</v>
      </c>
      <c r="CM50" s="669"/>
      <c r="CN50" s="669"/>
      <c r="CO50" s="457"/>
      <c r="CP50" s="457"/>
      <c r="CQ50" s="457"/>
      <c r="CR50" s="458"/>
    </row>
    <row r="51" spans="2:96" ht="14.25" customHeight="1" x14ac:dyDescent="0.2">
      <c r="B51" s="719"/>
      <c r="C51" s="720"/>
      <c r="D51" s="563">
        <f t="shared" si="21"/>
        <v>0</v>
      </c>
      <c r="E51" s="178"/>
      <c r="F51" s="178"/>
      <c r="G51" s="178"/>
      <c r="H51" s="429">
        <f t="shared" si="26"/>
        <v>0</v>
      </c>
      <c r="I51" s="429">
        <f t="shared" si="22"/>
        <v>0</v>
      </c>
      <c r="J51" s="151" t="str">
        <f t="shared" si="27"/>
        <v/>
      </c>
      <c r="L51" s="773" t="s">
        <v>1132</v>
      </c>
      <c r="M51" s="774"/>
      <c r="N51" s="128">
        <f t="shared" si="28"/>
        <v>0</v>
      </c>
      <c r="O51" s="35"/>
      <c r="P51" s="37"/>
      <c r="Q51" s="38">
        <f t="shared" si="29"/>
        <v>3</v>
      </c>
      <c r="R51" s="38">
        <f t="shared" si="30"/>
        <v>3</v>
      </c>
      <c r="S51" s="765"/>
      <c r="T51" s="766"/>
      <c r="U51" s="766"/>
      <c r="V51" s="767"/>
      <c r="W51" s="129"/>
      <c r="X51" s="37"/>
      <c r="Y51" s="130">
        <f t="shared" si="31"/>
        <v>0</v>
      </c>
      <c r="AD51" s="96">
        <v>11</v>
      </c>
      <c r="AE51" s="98" t="s">
        <v>871</v>
      </c>
      <c r="AF51" s="99" t="s">
        <v>872</v>
      </c>
      <c r="AG51" s="100" t="s">
        <v>873</v>
      </c>
      <c r="AH51" s="100" t="s">
        <v>874</v>
      </c>
      <c r="AI51" s="101" t="s">
        <v>875</v>
      </c>
      <c r="AJ51" s="146">
        <f t="shared" si="23"/>
        <v>0</v>
      </c>
      <c r="AK51" s="146">
        <f t="shared" si="24"/>
        <v>0</v>
      </c>
      <c r="AL51" s="147">
        <f t="shared" si="25"/>
        <v>0</v>
      </c>
      <c r="AM51" s="341" t="s">
        <v>1943</v>
      </c>
      <c r="AN51" s="267" t="s">
        <v>1734</v>
      </c>
      <c r="AO51" s="143" t="s">
        <v>1187</v>
      </c>
      <c r="AP51" s="143">
        <v>3</v>
      </c>
      <c r="AQ51" s="143"/>
      <c r="AR51" s="143"/>
      <c r="AS51" s="143"/>
      <c r="AT51" s="143">
        <v>3</v>
      </c>
      <c r="AU51" s="143" t="str">
        <f>IF(streetwise&gt;2,"Yes","No")</f>
        <v>No</v>
      </c>
      <c r="AV51" s="143" t="s">
        <v>14</v>
      </c>
      <c r="AW51" s="62">
        <f t="shared" ca="1" si="0"/>
        <v>0</v>
      </c>
      <c r="AX51" s="585" t="s">
        <v>1886</v>
      </c>
      <c r="AY51" s="276" t="s">
        <v>1074</v>
      </c>
      <c r="AZ51" s="276" t="s">
        <v>2224</v>
      </c>
      <c r="BA51" s="275" t="s">
        <v>12</v>
      </c>
      <c r="BB51" s="276" t="s">
        <v>1883</v>
      </c>
      <c r="BC51" s="275" t="s">
        <v>1868</v>
      </c>
      <c r="BD51" s="276">
        <v>10</v>
      </c>
      <c r="BE51" s="275" t="s">
        <v>12</v>
      </c>
      <c r="BF51" s="275" t="s">
        <v>12</v>
      </c>
      <c r="BG51" s="275" t="str">
        <f>IF(AND(covenant1="Invictus",BP&gt;1),"Yes","No")</f>
        <v>No</v>
      </c>
      <c r="BH51" s="275" t="str">
        <f>IF(covenant1="Invictus","Local","Unavailable")</f>
        <v>Unavailable</v>
      </c>
      <c r="CC51" s="608" t="str">
        <f t="shared" si="8"/>
        <v/>
      </c>
      <c r="CD51" s="609"/>
      <c r="CE51" s="609"/>
      <c r="CF51" s="609" t="str">
        <f t="shared" si="9"/>
        <v/>
      </c>
      <c r="CG51" s="610"/>
      <c r="CH51" s="895" t="str">
        <f>IF(BP=10,IF(curvitae&gt;50,CONCATENATE(VLOOKUP(50,dotchart,4,FALSE),VLOOKUP(50-curvitae,dotchart,4,FALSE),VLOOKUP((VLOOKUP(BP,bpchart,3,FALSE)-curvitae),dotchart,5,FALSE)),CONCATENATE(VLOOKUP(curvitae,dotchart,4,FALSE),VLOOKUP(50,dotchart,5,FALSE),VLOOKUP((VLOOKUP(BP,bpchart,3,FALSE)-50-curvitae),dotchart,5,FALSE))),CONCATENATE(VLOOKUP(curvitae,dotchart,4,FALSE),VLOOKUP((VLOOKUP(BP,bpchart,3,FALSE)-curvitae),dotchart,5,FALSE)))</f>
        <v xml:space="preserve">[ ][ ][ ][ ][ ][ ][ ][ ][ ][ ] </v>
      </c>
      <c r="CI51" s="895"/>
      <c r="CJ51" s="895"/>
      <c r="CK51" s="895"/>
      <c r="CL51" s="895"/>
      <c r="CM51" s="895"/>
      <c r="CN51" s="895"/>
      <c r="CO51" s="895"/>
      <c r="CP51" s="895"/>
      <c r="CQ51" s="895"/>
      <c r="CR51" s="896"/>
    </row>
    <row r="52" spans="2:96" ht="14.25" customHeight="1" x14ac:dyDescent="0.2">
      <c r="B52" s="719"/>
      <c r="C52" s="720"/>
      <c r="D52" s="563">
        <f t="shared" si="21"/>
        <v>0</v>
      </c>
      <c r="E52" s="178"/>
      <c r="F52" s="178"/>
      <c r="G52" s="178"/>
      <c r="H52" s="429">
        <f t="shared" si="26"/>
        <v>0</v>
      </c>
      <c r="I52" s="429">
        <f t="shared" si="22"/>
        <v>0</v>
      </c>
      <c r="J52" s="151" t="str">
        <f t="shared" si="27"/>
        <v/>
      </c>
      <c r="L52" s="773" t="s">
        <v>1133</v>
      </c>
      <c r="M52" s="774"/>
      <c r="N52" s="128">
        <f t="shared" si="28"/>
        <v>0</v>
      </c>
      <c r="O52" s="35"/>
      <c r="P52" s="37"/>
      <c r="Q52" s="38">
        <f t="shared" si="29"/>
        <v>3</v>
      </c>
      <c r="R52" s="38">
        <f t="shared" si="30"/>
        <v>3</v>
      </c>
      <c r="S52" s="765"/>
      <c r="T52" s="766"/>
      <c r="U52" s="766"/>
      <c r="V52" s="767"/>
      <c r="W52" s="129"/>
      <c r="X52" s="37"/>
      <c r="Y52" s="130">
        <f t="shared" si="31"/>
        <v>0</v>
      </c>
      <c r="AD52" s="96">
        <v>12</v>
      </c>
      <c r="AE52" s="98" t="s">
        <v>876</v>
      </c>
      <c r="AF52" s="99" t="s">
        <v>877</v>
      </c>
      <c r="AG52" s="100" t="s">
        <v>878</v>
      </c>
      <c r="AH52" s="100" t="s">
        <v>879</v>
      </c>
      <c r="AI52" s="101" t="s">
        <v>880</v>
      </c>
      <c r="AJ52" s="146">
        <f t="shared" si="23"/>
        <v>0</v>
      </c>
      <c r="AK52" s="146">
        <f t="shared" si="24"/>
        <v>0</v>
      </c>
      <c r="AL52" s="147">
        <f t="shared" si="25"/>
        <v>0</v>
      </c>
      <c r="AM52" s="341" t="s">
        <v>1944</v>
      </c>
      <c r="AN52" s="267" t="s">
        <v>1706</v>
      </c>
      <c r="AO52" s="143" t="s">
        <v>1188</v>
      </c>
      <c r="AP52" s="143">
        <v>2</v>
      </c>
      <c r="AQ52" s="143"/>
      <c r="AR52" s="143"/>
      <c r="AS52" s="143"/>
      <c r="AT52" s="143">
        <v>2</v>
      </c>
      <c r="AU52" s="143" t="str">
        <f>IF(AND(dexterity&gt;2,weaponry&gt;1),"Yes","No")</f>
        <v>No</v>
      </c>
      <c r="AV52" s="143" t="s">
        <v>14</v>
      </c>
      <c r="AW52" s="62">
        <f t="shared" ca="1" si="0"/>
        <v>0</v>
      </c>
      <c r="AX52" s="585" t="s">
        <v>2223</v>
      </c>
      <c r="AY52" s="276" t="s">
        <v>1074</v>
      </c>
      <c r="AZ52" s="276" t="s">
        <v>200</v>
      </c>
      <c r="BA52" s="275" t="s">
        <v>212</v>
      </c>
      <c r="BB52" s="276" t="s">
        <v>12</v>
      </c>
      <c r="BC52" s="276" t="s">
        <v>1880</v>
      </c>
      <c r="BD52" s="276">
        <v>12</v>
      </c>
      <c r="BE52" s="275">
        <f>presence + intimidation + D42 - IF(intimidation=0,1,0)</f>
        <v>0</v>
      </c>
      <c r="BF52" s="275" t="s">
        <v>195</v>
      </c>
      <c r="BG52" s="276" t="str">
        <f>IF(AND(auspex&gt;2,dominate&gt;1,covenant1="Invictus"),"Yes","No")</f>
        <v>No</v>
      </c>
      <c r="BH52" s="275" t="str">
        <f>IF(covenant1="Invictus","Local","Unavailable")</f>
        <v>Unavailable</v>
      </c>
      <c r="CC52" s="608" t="str">
        <f t="shared" si="8"/>
        <v/>
      </c>
      <c r="CD52" s="609"/>
      <c r="CE52" s="609"/>
      <c r="CF52" s="609" t="str">
        <f t="shared" si="9"/>
        <v/>
      </c>
      <c r="CG52" s="610"/>
      <c r="CH52" s="897"/>
      <c r="CI52" s="897"/>
      <c r="CJ52" s="897"/>
      <c r="CK52" s="897"/>
      <c r="CL52" s="897"/>
      <c r="CM52" s="897"/>
      <c r="CN52" s="897"/>
      <c r="CO52" s="897"/>
      <c r="CP52" s="897"/>
      <c r="CQ52" s="897"/>
      <c r="CR52" s="898"/>
    </row>
    <row r="53" spans="2:96" ht="14.25" customHeight="1" x14ac:dyDescent="0.2">
      <c r="B53" s="719"/>
      <c r="C53" s="720"/>
      <c r="D53" s="563">
        <f t="shared" si="21"/>
        <v>0</v>
      </c>
      <c r="E53" s="178"/>
      <c r="F53" s="178"/>
      <c r="G53" s="178"/>
      <c r="H53" s="429">
        <f t="shared" si="26"/>
        <v>0</v>
      </c>
      <c r="I53" s="429">
        <f t="shared" si="22"/>
        <v>0</v>
      </c>
      <c r="J53" s="151" t="str">
        <f t="shared" si="27"/>
        <v/>
      </c>
      <c r="L53" s="773" t="s">
        <v>1134</v>
      </c>
      <c r="M53" s="774"/>
      <c r="N53" s="128">
        <f t="shared" si="28"/>
        <v>0</v>
      </c>
      <c r="O53" s="35"/>
      <c r="P53" s="37"/>
      <c r="Q53" s="38">
        <f t="shared" si="29"/>
        <v>3</v>
      </c>
      <c r="R53" s="38">
        <f t="shared" si="30"/>
        <v>3</v>
      </c>
      <c r="S53" s="765"/>
      <c r="T53" s="766"/>
      <c r="U53" s="766"/>
      <c r="V53" s="767"/>
      <c r="W53" s="129"/>
      <c r="X53" s="37"/>
      <c r="Y53" s="130">
        <f t="shared" si="31"/>
        <v>0</v>
      </c>
      <c r="AD53" s="96">
        <v>13</v>
      </c>
      <c r="AE53" s="98" t="s">
        <v>881</v>
      </c>
      <c r="AF53" s="99" t="s">
        <v>882</v>
      </c>
      <c r="AG53" s="100" t="s">
        <v>883</v>
      </c>
      <c r="AH53" s="100" t="s">
        <v>884</v>
      </c>
      <c r="AI53" s="101" t="s">
        <v>885</v>
      </c>
      <c r="AJ53" s="146">
        <f t="shared" si="23"/>
        <v>0</v>
      </c>
      <c r="AK53" s="146">
        <f t="shared" si="24"/>
        <v>0</v>
      </c>
      <c r="AL53" s="147">
        <f t="shared" si="25"/>
        <v>0</v>
      </c>
      <c r="AM53" s="341" t="s">
        <v>1945</v>
      </c>
      <c r="AN53" s="267" t="s">
        <v>1688</v>
      </c>
      <c r="AO53" s="143" t="s">
        <v>1148</v>
      </c>
      <c r="AP53" s="143" t="s">
        <v>1151</v>
      </c>
      <c r="AQ53" s="143"/>
      <c r="AR53" s="143"/>
      <c r="AS53" s="143"/>
      <c r="AT53" s="143">
        <v>5</v>
      </c>
      <c r="AU53" s="143" t="str">
        <f>IF(AND(strength&gt;1,dexterity&gt;1,composure&gt;2,firearms&gt;1),"Yes","No")</f>
        <v>No</v>
      </c>
      <c r="AV53" s="143" t="s">
        <v>14</v>
      </c>
      <c r="AW53" s="62">
        <f t="shared" ca="1" si="0"/>
        <v>0</v>
      </c>
      <c r="AX53" s="586" t="s">
        <v>1882</v>
      </c>
      <c r="AY53" s="582" t="s">
        <v>1074</v>
      </c>
      <c r="AZ53" s="582" t="s">
        <v>223</v>
      </c>
      <c r="BA53" s="582" t="s">
        <v>12</v>
      </c>
      <c r="BB53" s="583" t="s">
        <v>1869</v>
      </c>
      <c r="BC53" s="583" t="s">
        <v>12</v>
      </c>
      <c r="BD53" s="582">
        <v>12</v>
      </c>
      <c r="BE53" s="583" t="s">
        <v>12</v>
      </c>
      <c r="BF53" s="582" t="s">
        <v>12</v>
      </c>
      <c r="BG53" s="276" t="str">
        <f>IF(AND(majesty&gt;0,covenant1="Invictus"),"Yes","No")</f>
        <v>No</v>
      </c>
      <c r="BH53" s="275" t="str">
        <f>IF(bloodline="Taifa","Local",IF(covenant1="Invictus","Genre","Unavailable"))</f>
        <v>Unavailable</v>
      </c>
      <c r="CC53" s="608" t="str">
        <f t="shared" si="8"/>
        <v/>
      </c>
      <c r="CD53" s="609"/>
      <c r="CE53" s="609"/>
      <c r="CF53" s="609" t="str">
        <f t="shared" si="9"/>
        <v/>
      </c>
      <c r="CG53" s="610"/>
      <c r="CH53" s="897"/>
      <c r="CI53" s="897"/>
      <c r="CJ53" s="897"/>
      <c r="CK53" s="897"/>
      <c r="CL53" s="897"/>
      <c r="CM53" s="897"/>
      <c r="CN53" s="897"/>
      <c r="CO53" s="897"/>
      <c r="CP53" s="897"/>
      <c r="CQ53" s="897"/>
      <c r="CR53" s="898"/>
    </row>
    <row r="54" spans="2:96" ht="14.25" customHeight="1" x14ac:dyDescent="0.2">
      <c r="B54" s="719"/>
      <c r="C54" s="720"/>
      <c r="D54" s="563">
        <f t="shared" si="21"/>
        <v>0</v>
      </c>
      <c r="E54" s="178"/>
      <c r="F54" s="178"/>
      <c r="G54" s="178"/>
      <c r="H54" s="429">
        <f t="shared" si="26"/>
        <v>0</v>
      </c>
      <c r="I54" s="429">
        <f t="shared" si="22"/>
        <v>0</v>
      </c>
      <c r="J54" s="151" t="str">
        <f t="shared" si="27"/>
        <v/>
      </c>
      <c r="L54" s="773" t="s">
        <v>1135</v>
      </c>
      <c r="M54" s="774"/>
      <c r="N54" s="128">
        <f t="shared" si="28"/>
        <v>0</v>
      </c>
      <c r="O54" s="35"/>
      <c r="P54" s="37"/>
      <c r="Q54" s="38">
        <f t="shared" si="29"/>
        <v>3</v>
      </c>
      <c r="R54" s="38">
        <f t="shared" si="30"/>
        <v>3</v>
      </c>
      <c r="S54" s="765"/>
      <c r="T54" s="766"/>
      <c r="U54" s="766"/>
      <c r="V54" s="767"/>
      <c r="W54" s="129"/>
      <c r="X54" s="37"/>
      <c r="Y54" s="130">
        <f t="shared" si="31"/>
        <v>0</v>
      </c>
      <c r="AD54" s="96">
        <v>14</v>
      </c>
      <c r="AE54" s="98" t="s">
        <v>886</v>
      </c>
      <c r="AF54" s="99" t="s">
        <v>887</v>
      </c>
      <c r="AG54" s="100" t="s">
        <v>888</v>
      </c>
      <c r="AH54" s="100" t="s">
        <v>889</v>
      </c>
      <c r="AI54" s="101" t="s">
        <v>890</v>
      </c>
      <c r="AJ54" s="146">
        <f t="shared" si="23"/>
        <v>0</v>
      </c>
      <c r="AK54" s="146">
        <f t="shared" si="24"/>
        <v>0</v>
      </c>
      <c r="AL54" s="147">
        <f t="shared" si="25"/>
        <v>0</v>
      </c>
      <c r="AM54" s="341" t="s">
        <v>1946</v>
      </c>
      <c r="AN54" s="267" t="s">
        <v>1670</v>
      </c>
      <c r="AO54" s="143" t="s">
        <v>1150</v>
      </c>
      <c r="AP54" s="143" t="s">
        <v>1151</v>
      </c>
      <c r="AQ54" s="143"/>
      <c r="AR54" s="143"/>
      <c r="AS54" s="143"/>
      <c r="AT54" s="143">
        <v>4</v>
      </c>
      <c r="AU54" s="143" t="str">
        <f>IF(AND(strength&gt;1,dexterity&gt;2,stamina&gt;2,brawl&gt;1),"Yes","No")</f>
        <v>No</v>
      </c>
      <c r="AV54" s="143" t="s">
        <v>14</v>
      </c>
      <c r="AW54" s="62">
        <f t="shared" ca="1" si="0"/>
        <v>0</v>
      </c>
      <c r="BG54" s="589"/>
      <c r="CC54" s="611" t="str">
        <f t="shared" si="8"/>
        <v/>
      </c>
      <c r="CD54" s="612"/>
      <c r="CE54" s="612"/>
      <c r="CF54" s="612" t="str">
        <f t="shared" si="9"/>
        <v/>
      </c>
      <c r="CG54" s="613"/>
      <c r="CH54" s="899"/>
      <c r="CI54" s="899"/>
      <c r="CJ54" s="899"/>
      <c r="CK54" s="899"/>
      <c r="CL54" s="899"/>
      <c r="CM54" s="899"/>
      <c r="CN54" s="899"/>
      <c r="CO54" s="899"/>
      <c r="CP54" s="899"/>
      <c r="CQ54" s="899"/>
      <c r="CR54" s="900"/>
    </row>
    <row r="55" spans="2:96" ht="14.25" customHeight="1" thickBot="1" x14ac:dyDescent="0.25">
      <c r="B55" s="719"/>
      <c r="C55" s="720"/>
      <c r="D55" s="563">
        <f t="shared" si="21"/>
        <v>0</v>
      </c>
      <c r="E55" s="178"/>
      <c r="F55" s="178"/>
      <c r="G55" s="178"/>
      <c r="H55" s="429">
        <f t="shared" si="26"/>
        <v>0</v>
      </c>
      <c r="I55" s="429">
        <f t="shared" si="22"/>
        <v>0</v>
      </c>
      <c r="J55" s="151" t="str">
        <f t="shared" si="27"/>
        <v/>
      </c>
      <c r="L55" s="48"/>
      <c r="M55" s="49"/>
      <c r="N55" s="49"/>
      <c r="O55" s="133">
        <f>(IF(skillpriority=3,11,IF(skillpriority=4,11,IF(skillpriority=1,7,IF(skillpriority=6,7,IF(skillpriority=2,4,IF(skillpriority=5,4,0)))))))-SUM(O47:O54)</f>
        <v>0</v>
      </c>
      <c r="P55" s="776" t="s">
        <v>766</v>
      </c>
      <c r="Q55" s="776"/>
      <c r="R55" s="776"/>
      <c r="S55" s="777" t="s">
        <v>1136</v>
      </c>
      <c r="T55" s="777"/>
      <c r="U55" s="777"/>
      <c r="V55" s="777"/>
      <c r="W55" s="134">
        <f>3-(SUM(W27:W54))-AC60</f>
        <v>3</v>
      </c>
      <c r="X55" s="49"/>
      <c r="Y55" s="135"/>
      <c r="AD55" s="96">
        <v>15</v>
      </c>
      <c r="AE55" s="98" t="s">
        <v>891</v>
      </c>
      <c r="AF55" s="99" t="s">
        <v>892</v>
      </c>
      <c r="AG55" s="100" t="s">
        <v>893</v>
      </c>
      <c r="AH55" s="100" t="s">
        <v>894</v>
      </c>
      <c r="AI55" s="101" t="s">
        <v>895</v>
      </c>
      <c r="AJ55" s="146">
        <f t="shared" si="23"/>
        <v>0</v>
      </c>
      <c r="AK55" s="146">
        <f t="shared" si="24"/>
        <v>0</v>
      </c>
      <c r="AL55" s="147">
        <f t="shared" si="25"/>
        <v>0</v>
      </c>
      <c r="AM55" s="341" t="s">
        <v>1947</v>
      </c>
      <c r="AN55" s="267" t="s">
        <v>1672</v>
      </c>
      <c r="AO55" s="143" t="s">
        <v>1146</v>
      </c>
      <c r="AP55" s="143" t="s">
        <v>1151</v>
      </c>
      <c r="AQ55" s="143"/>
      <c r="AR55" s="143"/>
      <c r="AS55" s="143"/>
      <c r="AT55" s="143">
        <v>5</v>
      </c>
      <c r="AU55" s="143" t="str">
        <f>IF(AND(strength&gt;2,weaponry&gt;2),"Yes","No")</f>
        <v>No</v>
      </c>
      <c r="AV55" s="143" t="s">
        <v>14</v>
      </c>
      <c r="AW55" s="62">
        <f t="shared" ca="1" si="0"/>
        <v>0</v>
      </c>
    </row>
    <row r="56" spans="2:96" ht="14.25" customHeight="1" thickTop="1" thickBot="1" x14ac:dyDescent="0.25">
      <c r="B56" s="719"/>
      <c r="C56" s="720"/>
      <c r="D56" s="563">
        <f t="shared" si="21"/>
        <v>0</v>
      </c>
      <c r="E56" s="178"/>
      <c r="F56" s="178"/>
      <c r="G56" s="178"/>
      <c r="H56" s="429">
        <f t="shared" si="26"/>
        <v>0</v>
      </c>
      <c r="I56" s="429">
        <f t="shared" si="22"/>
        <v>0</v>
      </c>
      <c r="J56" s="151" t="str">
        <f t="shared" si="27"/>
        <v/>
      </c>
      <c r="AD56" s="96">
        <v>16</v>
      </c>
      <c r="AE56" s="98" t="s">
        <v>896</v>
      </c>
      <c r="AF56" s="99" t="s">
        <v>897</v>
      </c>
      <c r="AG56" s="100" t="s">
        <v>898</v>
      </c>
      <c r="AH56" s="100" t="s">
        <v>899</v>
      </c>
      <c r="AI56" s="101" t="s">
        <v>900</v>
      </c>
      <c r="AJ56" s="146">
        <f t="shared" si="23"/>
        <v>0</v>
      </c>
      <c r="AK56" s="146">
        <f t="shared" si="24"/>
        <v>0</v>
      </c>
      <c r="AL56" s="147">
        <f t="shared" si="25"/>
        <v>0</v>
      </c>
      <c r="AM56" s="341" t="s">
        <v>1948</v>
      </c>
      <c r="AN56" s="267" t="s">
        <v>1690</v>
      </c>
      <c r="AO56" s="143" t="s">
        <v>1147</v>
      </c>
      <c r="AP56" s="143" t="s">
        <v>1151</v>
      </c>
      <c r="AQ56" s="143"/>
      <c r="AR56" s="143"/>
      <c r="AS56" s="143"/>
      <c r="AT56" s="143">
        <v>5</v>
      </c>
      <c r="AU56" s="143" t="str">
        <f>IF(AND(dexterity&gt;2,weaponry&gt;2),"Yes","No")</f>
        <v>No</v>
      </c>
      <c r="AV56" s="143" t="s">
        <v>14</v>
      </c>
      <c r="AW56" s="62">
        <f t="shared" ca="1" si="0"/>
        <v>0</v>
      </c>
    </row>
    <row r="57" spans="2:96" ht="14.25" customHeight="1" thickTop="1" x14ac:dyDescent="0.2">
      <c r="B57" s="719"/>
      <c r="C57" s="720"/>
      <c r="D57" s="563">
        <f t="shared" si="21"/>
        <v>0</v>
      </c>
      <c r="E57" s="178"/>
      <c r="F57" s="178"/>
      <c r="G57" s="178"/>
      <c r="H57" s="429">
        <f t="shared" si="26"/>
        <v>0</v>
      </c>
      <c r="I57" s="429">
        <f t="shared" si="22"/>
        <v>0</v>
      </c>
      <c r="J57" s="151" t="str">
        <f t="shared" si="27"/>
        <v/>
      </c>
      <c r="L57" s="721" t="s">
        <v>178</v>
      </c>
      <c r="M57" s="722"/>
      <c r="N57" s="722"/>
      <c r="O57" s="27"/>
      <c r="P57" s="27"/>
      <c r="Q57" s="27"/>
      <c r="R57" s="27"/>
      <c r="S57" s="27"/>
      <c r="T57" s="28"/>
      <c r="U57" s="721" t="s">
        <v>1102</v>
      </c>
      <c r="V57" s="722"/>
      <c r="W57" s="722"/>
      <c r="X57" s="722"/>
      <c r="Y57" s="27"/>
      <c r="Z57" s="28"/>
      <c r="AD57" s="96">
        <v>17</v>
      </c>
      <c r="AE57" s="98" t="s">
        <v>901</v>
      </c>
      <c r="AF57" s="99" t="s">
        <v>902</v>
      </c>
      <c r="AG57" s="100" t="s">
        <v>903</v>
      </c>
      <c r="AH57" s="100" t="s">
        <v>904</v>
      </c>
      <c r="AI57" s="101" t="s">
        <v>905</v>
      </c>
      <c r="AJ57" s="146">
        <f t="shared" si="23"/>
        <v>0</v>
      </c>
      <c r="AK57" s="146">
        <f t="shared" si="24"/>
        <v>0</v>
      </c>
      <c r="AL57" s="147">
        <f t="shared" si="25"/>
        <v>0</v>
      </c>
      <c r="AM57" s="341" t="s">
        <v>1949</v>
      </c>
      <c r="AN57" s="267" t="s">
        <v>1655</v>
      </c>
      <c r="AO57" s="143" t="s">
        <v>1152</v>
      </c>
      <c r="AP57" s="143" t="s">
        <v>1151</v>
      </c>
      <c r="AQ57" s="143"/>
      <c r="AR57" s="143"/>
      <c r="AS57" s="143"/>
      <c r="AT57" s="143">
        <v>4</v>
      </c>
      <c r="AU57" s="143" t="str">
        <f>IF(AND(strength&gt;1,dexterity&gt;1,athletics&gt;1),"Yes","No")</f>
        <v>No</v>
      </c>
      <c r="AV57" s="143" t="s">
        <v>14</v>
      </c>
      <c r="AW57" s="62">
        <f t="shared" ca="1" si="0"/>
        <v>0</v>
      </c>
      <c r="CC57" s="485"/>
      <c r="CD57" s="485"/>
      <c r="CE57" s="485"/>
      <c r="CF57" s="485"/>
      <c r="CG57" s="485"/>
      <c r="CH57" s="485"/>
      <c r="CI57" s="485"/>
      <c r="CJ57" s="485"/>
      <c r="CK57" s="485"/>
      <c r="CL57" s="485"/>
      <c r="CM57" s="485"/>
      <c r="CN57" s="485"/>
      <c r="CO57" s="485"/>
      <c r="CP57" s="485"/>
      <c r="CQ57" s="485"/>
      <c r="CR57" s="485"/>
    </row>
    <row r="58" spans="2:96" ht="14.25" customHeight="1" x14ac:dyDescent="0.2">
      <c r="B58" s="719"/>
      <c r="C58" s="720"/>
      <c r="D58" s="563">
        <f t="shared" si="21"/>
        <v>0</v>
      </c>
      <c r="E58" s="178"/>
      <c r="F58" s="178"/>
      <c r="G58" s="178"/>
      <c r="H58" s="429">
        <f t="shared" si="26"/>
        <v>0</v>
      </c>
      <c r="I58" s="429">
        <f t="shared" si="22"/>
        <v>0</v>
      </c>
      <c r="J58" s="151" t="str">
        <f t="shared" si="27"/>
        <v/>
      </c>
      <c r="L58" s="723"/>
      <c r="M58" s="724"/>
      <c r="N58" s="724"/>
      <c r="O58" s="114"/>
      <c r="P58" s="114"/>
      <c r="Q58" s="114"/>
      <c r="R58" s="114"/>
      <c r="S58" s="114"/>
      <c r="T58" s="30"/>
      <c r="U58" s="723"/>
      <c r="V58" s="724"/>
      <c r="W58" s="724"/>
      <c r="X58" s="724"/>
      <c r="Y58" s="114"/>
      <c r="Z58" s="30"/>
      <c r="AD58" s="96">
        <v>18</v>
      </c>
      <c r="AE58" s="98" t="s">
        <v>906</v>
      </c>
      <c r="AF58" s="99" t="s">
        <v>907</v>
      </c>
      <c r="AG58" s="100" t="s">
        <v>908</v>
      </c>
      <c r="AH58" s="100" t="s">
        <v>909</v>
      </c>
      <c r="AI58" s="101" t="s">
        <v>910</v>
      </c>
      <c r="AJ58" s="146">
        <f t="shared" si="23"/>
        <v>0</v>
      </c>
      <c r="AK58" s="146">
        <f t="shared" si="24"/>
        <v>0</v>
      </c>
      <c r="AL58" s="147">
        <f t="shared" si="25"/>
        <v>0</v>
      </c>
      <c r="AM58" s="341" t="s">
        <v>1950</v>
      </c>
      <c r="AN58" s="267" t="s">
        <v>1674</v>
      </c>
      <c r="AO58" s="143" t="s">
        <v>1153</v>
      </c>
      <c r="AP58" s="143" t="s">
        <v>1151</v>
      </c>
      <c r="AQ58" s="143"/>
      <c r="AR58" s="143"/>
      <c r="AS58" s="143"/>
      <c r="AT58" s="143">
        <v>4</v>
      </c>
      <c r="AU58" s="143" t="str">
        <f>IF(AND(strength&gt;1,dexterity&gt;1,athletics&gt;1),"Yes","No")</f>
        <v>No</v>
      </c>
      <c r="AV58" s="143" t="s">
        <v>14</v>
      </c>
      <c r="AW58" s="62">
        <f t="shared" ca="1" si="0"/>
        <v>0</v>
      </c>
      <c r="CC58" s="608" t="str">
        <f>CONCATENATE("Player Name: ",IF(playername&lt;&gt;"",playername,""))</f>
        <v xml:space="preserve">Player Name: </v>
      </c>
      <c r="CD58" s="609"/>
      <c r="CE58" s="609"/>
      <c r="CF58" s="609"/>
      <c r="CG58" s="609"/>
      <c r="CH58" s="609" t="str">
        <f>CONCATENATE("Local Storyteller: ",IF(stname&lt;&gt;"",stname,""))</f>
        <v xml:space="preserve">Local Storyteller: </v>
      </c>
      <c r="CI58" s="609"/>
      <c r="CJ58" s="609"/>
      <c r="CK58" s="609"/>
      <c r="CL58" s="609"/>
      <c r="CM58" s="609" t="str">
        <f>CONCATENATE("Direct Coordinator: ",IF(coordinatorname&lt;&gt;"",coordinatorname,""))</f>
        <v xml:space="preserve">Direct Coordinator: </v>
      </c>
      <c r="CN58" s="609"/>
      <c r="CO58" s="609"/>
      <c r="CP58" s="609"/>
      <c r="CQ58" s="609"/>
      <c r="CR58" s="610"/>
    </row>
    <row r="59" spans="2:96" ht="14.25" customHeight="1" x14ac:dyDescent="0.2">
      <c r="B59" s="719"/>
      <c r="C59" s="720"/>
      <c r="D59" s="563">
        <f t="shared" si="21"/>
        <v>0</v>
      </c>
      <c r="E59" s="178"/>
      <c r="F59" s="178"/>
      <c r="G59" s="178"/>
      <c r="H59" s="429">
        <f t="shared" si="26"/>
        <v>0</v>
      </c>
      <c r="I59" s="429">
        <f t="shared" si="22"/>
        <v>0</v>
      </c>
      <c r="J59" s="151" t="str">
        <f t="shared" si="27"/>
        <v/>
      </c>
      <c r="L59" s="651" t="s">
        <v>1</v>
      </c>
      <c r="M59" s="652"/>
      <c r="N59" s="45"/>
      <c r="O59" s="424" t="s">
        <v>760</v>
      </c>
      <c r="P59" s="425" t="str">
        <f>IF(bloodline="","XP","")</f>
        <v>XP</v>
      </c>
      <c r="Q59" s="425" t="str">
        <f>IF(bloodline&lt;&gt;"","XP","")</f>
        <v/>
      </c>
      <c r="R59" s="152" t="s">
        <v>6</v>
      </c>
      <c r="S59" s="653" t="s">
        <v>762</v>
      </c>
      <c r="T59" s="741"/>
      <c r="U59" s="176">
        <v>1</v>
      </c>
      <c r="V59" s="416">
        <v>2</v>
      </c>
      <c r="W59" s="416">
        <v>3</v>
      </c>
      <c r="X59" s="416">
        <v>4</v>
      </c>
      <c r="Y59" s="416">
        <v>5</v>
      </c>
      <c r="Z59" s="417" t="s">
        <v>8</v>
      </c>
      <c r="AD59" s="96">
        <v>19</v>
      </c>
      <c r="AE59" s="98" t="s">
        <v>911</v>
      </c>
      <c r="AF59" s="99" t="s">
        <v>912</v>
      </c>
      <c r="AG59" s="100" t="s">
        <v>913</v>
      </c>
      <c r="AH59" s="100" t="s">
        <v>914</v>
      </c>
      <c r="AI59" s="101" t="s">
        <v>915</v>
      </c>
      <c r="AJ59" s="146">
        <f t="shared" si="23"/>
        <v>0</v>
      </c>
      <c r="AK59" s="146">
        <f t="shared" si="24"/>
        <v>0</v>
      </c>
      <c r="AL59" s="147">
        <f t="shared" si="25"/>
        <v>0</v>
      </c>
      <c r="AM59" s="341" t="s">
        <v>1951</v>
      </c>
      <c r="AN59" s="267" t="s">
        <v>1676</v>
      </c>
      <c r="AO59" s="143" t="s">
        <v>1149</v>
      </c>
      <c r="AP59" s="143" t="s">
        <v>1151</v>
      </c>
      <c r="AQ59" s="143"/>
      <c r="AR59" s="143"/>
      <c r="AS59" s="143"/>
      <c r="AT59" s="143">
        <v>5</v>
      </c>
      <c r="AU59" s="143" t="str">
        <f>IF(AND(strength&gt;1,dexterity&gt;2,stamina&gt;2,brawl&gt;1),"Yes","No")</f>
        <v>No</v>
      </c>
      <c r="AV59" s="143" t="s">
        <v>14</v>
      </c>
      <c r="AW59" s="62">
        <f t="shared" ca="1" si="0"/>
        <v>0</v>
      </c>
      <c r="AX59" s="161" t="s">
        <v>1341</v>
      </c>
      <c r="AY59" s="161" t="s">
        <v>1342</v>
      </c>
      <c r="AZ59" s="161" t="s">
        <v>1343</v>
      </c>
      <c r="BA59" s="57" t="s">
        <v>1344</v>
      </c>
      <c r="CC59" s="608" t="str">
        <f>CONCATENATE("Email Address: ",IF(emailaddress&lt;&gt;"",emailaddress,""))</f>
        <v xml:space="preserve">Email Address: </v>
      </c>
      <c r="CD59" s="609"/>
      <c r="CE59" s="609"/>
      <c r="CF59" s="609"/>
      <c r="CG59" s="609"/>
      <c r="CH59" s="609" t="str">
        <f>CONCATENATE("Storyteller Email: ",IF(stemail&lt;&gt;"",stemail,""))</f>
        <v xml:space="preserve">Storyteller Email: </v>
      </c>
      <c r="CI59" s="609"/>
      <c r="CJ59" s="609"/>
      <c r="CK59" s="609"/>
      <c r="CL59" s="609"/>
      <c r="CM59" s="609" t="str">
        <f>CONCATENATE("Coordinator Email: ",IF(cemail&lt;&gt;"",cemail,""))</f>
        <v xml:space="preserve">Coordinator Email: </v>
      </c>
      <c r="CN59" s="609"/>
      <c r="CO59" s="609"/>
      <c r="CP59" s="609"/>
      <c r="CQ59" s="609"/>
      <c r="CR59" s="610"/>
    </row>
    <row r="60" spans="2:96" ht="14.25" customHeight="1" x14ac:dyDescent="0.2">
      <c r="B60" s="719"/>
      <c r="C60" s="720"/>
      <c r="D60" s="563">
        <f t="shared" si="21"/>
        <v>0</v>
      </c>
      <c r="E60" s="178"/>
      <c r="F60" s="178"/>
      <c r="G60" s="178"/>
      <c r="H60" s="429">
        <f t="shared" si="26"/>
        <v>0</v>
      </c>
      <c r="I60" s="429">
        <f t="shared" si="22"/>
        <v>0</v>
      </c>
      <c r="J60" s="151" t="str">
        <f t="shared" si="27"/>
        <v/>
      </c>
      <c r="L60" s="725" t="s">
        <v>808</v>
      </c>
      <c r="M60" s="726"/>
      <c r="N60" s="153">
        <f t="shared" ref="N60:N69" si="32">IF(bloodline&lt;&gt;"",BA60,AY60)</f>
        <v>0</v>
      </c>
      <c r="O60" s="35"/>
      <c r="P60" s="148"/>
      <c r="Q60" s="148"/>
      <c r="R60" s="154" t="s">
        <v>14</v>
      </c>
      <c r="S60" s="472">
        <f t="shared" ref="S60:S69" si="33">IF(N60&lt;5,((N60+1)*(IF(bloodline&lt;&gt;"",AZ60,AX60))),0)</f>
        <v>0</v>
      </c>
      <c r="T60" s="155">
        <f>IF(bloodline&lt;&gt;"",Q60,P60)+S60</f>
        <v>0</v>
      </c>
      <c r="U60" s="177"/>
      <c r="V60" s="178"/>
      <c r="W60" s="178"/>
      <c r="X60" s="178"/>
      <c r="Y60" s="178"/>
      <c r="Z60" s="121">
        <f t="shared" ref="Z60:Z74" si="34">SUM(U60:Y60)</f>
        <v>0</v>
      </c>
      <c r="AB60" s="555">
        <f>COUNTIF(U60:Y74,"1 CP")</f>
        <v>0</v>
      </c>
      <c r="AC60" s="551">
        <f>COUNTIF(U60:Y74,"1 CP")</f>
        <v>0</v>
      </c>
      <c r="AD60" s="96">
        <v>20</v>
      </c>
      <c r="AE60" s="98" t="s">
        <v>916</v>
      </c>
      <c r="AF60" s="99" t="s">
        <v>917</v>
      </c>
      <c r="AG60" s="100" t="s">
        <v>918</v>
      </c>
      <c r="AH60" s="100" t="s">
        <v>919</v>
      </c>
      <c r="AI60" s="101" t="s">
        <v>920</v>
      </c>
      <c r="AJ60" s="146">
        <f t="shared" si="23"/>
        <v>0</v>
      </c>
      <c r="AK60" s="146">
        <f t="shared" si="24"/>
        <v>0</v>
      </c>
      <c r="AL60" s="147">
        <f t="shared" si="25"/>
        <v>0</v>
      </c>
      <c r="AM60" s="342" t="s">
        <v>1952</v>
      </c>
      <c r="AN60" s="267" t="s">
        <v>1692</v>
      </c>
      <c r="AO60" s="143" t="s">
        <v>1144</v>
      </c>
      <c r="AP60" s="143" t="s">
        <v>1151</v>
      </c>
      <c r="AQ60" s="143"/>
      <c r="AR60" s="143"/>
      <c r="AS60" s="143"/>
      <c r="AT60" s="143">
        <v>5</v>
      </c>
      <c r="AU60" s="143" t="str">
        <f>IF(AND(strength&gt;2,stamina&gt;1,brawl&gt;1),"Yes","No")</f>
        <v>No</v>
      </c>
      <c r="AV60" s="143" t="s">
        <v>14</v>
      </c>
      <c r="AW60" s="62">
        <f t="shared" ca="1" si="0"/>
        <v>0</v>
      </c>
      <c r="AX60" s="164">
        <f>IF(clan1&lt;&gt;"",IF(OR(L60=VLOOKUP(clan1,ClanTable,2,FALSE),L60=VLOOKUP(clan1,ClanTable,3,FALSE),L60=VLOOKUP(clan1,ClanTable,4,FALSE)),5,7),0)</f>
        <v>0</v>
      </c>
      <c r="AY60" s="163">
        <f t="shared" ref="AY60:AY69" si="35">IF(AX60=0,0,VLOOKUP((((VLOOKUP((O60),mult_chart,2,TRUE)*AX60)+P60)/AX60),mult_chart2,2,TRUE))</f>
        <v>0</v>
      </c>
      <c r="AZ60" s="163">
        <f t="shared" ref="AZ60:AZ69" si="36">IF(bloodline&lt;&gt;"",IF(OR(L60=VLOOKUP(bloodline,BloodlineChart,3,TRUE),L60=VLOOKUP(bloodline,BloodlineChart,4,TRUE),L60=VLOOKUP(bloodline,BloodlineChart,5,TRUE),L60=VLOOKUP(bloodline,BloodlineChart,6,TRUE)),5,7),0)</f>
        <v>0</v>
      </c>
      <c r="BA60" s="165">
        <f t="shared" ref="BA60:BA70" si="37">IF(bloodline="",AY60,VLOOKUP((((VLOOKUP(AY60,mult_chart,2,TRUE))*AZ60)+Q60)/AZ60,mult_chart2,2,TRUE))</f>
        <v>0</v>
      </c>
      <c r="CC60" s="611" t="str">
        <f>CONCATENATE("Membership ID: ",IF(membernumber&lt;&gt;"",membernumber,""))</f>
        <v xml:space="preserve">Membership ID: </v>
      </c>
      <c r="CD60" s="612"/>
      <c r="CE60" s="612"/>
      <c r="CF60" s="612"/>
      <c r="CG60" s="612"/>
      <c r="CH60" s="612" t="str">
        <f>CONCATENATE("Primary/Secondary: ",IF(priorsec&lt;&gt;"",priorsec,""))</f>
        <v xml:space="preserve">Primary/Secondary: </v>
      </c>
      <c r="CI60" s="612"/>
      <c r="CJ60" s="612"/>
      <c r="CK60" s="612"/>
      <c r="CL60" s="612"/>
      <c r="CM60" s="612" t="str">
        <f>CONCATENATE("Character Domain: ",IF(chardomain&lt;&gt;"",chardomain,""))</f>
        <v xml:space="preserve">Character Domain: </v>
      </c>
      <c r="CN60" s="612"/>
      <c r="CO60" s="612"/>
      <c r="CP60" s="612"/>
      <c r="CQ60" s="612"/>
      <c r="CR60" s="613"/>
    </row>
    <row r="61" spans="2:96" ht="14.25" customHeight="1" x14ac:dyDescent="0.2">
      <c r="B61" s="719"/>
      <c r="C61" s="720"/>
      <c r="D61" s="563">
        <f t="shared" si="21"/>
        <v>0</v>
      </c>
      <c r="E61" s="178"/>
      <c r="F61" s="178"/>
      <c r="G61" s="178"/>
      <c r="H61" s="429">
        <f t="shared" si="26"/>
        <v>0</v>
      </c>
      <c r="I61" s="429">
        <f t="shared" si="22"/>
        <v>0</v>
      </c>
      <c r="J61" s="151" t="str">
        <f t="shared" si="27"/>
        <v/>
      </c>
      <c r="L61" s="742" t="s">
        <v>809</v>
      </c>
      <c r="M61" s="743"/>
      <c r="N61" s="153">
        <f t="shared" si="32"/>
        <v>0</v>
      </c>
      <c r="O61" s="156"/>
      <c r="P61" s="157"/>
      <c r="Q61" s="157"/>
      <c r="R61" s="154" t="s">
        <v>14</v>
      </c>
      <c r="S61" s="472">
        <f t="shared" si="33"/>
        <v>0</v>
      </c>
      <c r="T61" s="155">
        <f t="shared" ref="T61:T74" si="38">IF(bloodline&lt;&gt;"",Q61,P61)+S61</f>
        <v>0</v>
      </c>
      <c r="U61" s="179" t="s">
        <v>12</v>
      </c>
      <c r="V61" s="178"/>
      <c r="W61" s="178"/>
      <c r="X61" s="178"/>
      <c r="Y61" s="178"/>
      <c r="Z61" s="121">
        <f t="shared" si="34"/>
        <v>0</v>
      </c>
      <c r="AD61" s="96">
        <v>21</v>
      </c>
      <c r="AE61" s="98" t="s">
        <v>921</v>
      </c>
      <c r="AF61" s="99" t="s">
        <v>922</v>
      </c>
      <c r="AG61" s="100" t="s">
        <v>923</v>
      </c>
      <c r="AH61" s="100" t="s">
        <v>924</v>
      </c>
      <c r="AI61" s="101" t="s">
        <v>925</v>
      </c>
      <c r="AJ61" s="146">
        <f t="shared" si="23"/>
        <v>0</v>
      </c>
      <c r="AK61" s="146">
        <f t="shared" si="24"/>
        <v>0</v>
      </c>
      <c r="AL61" s="147">
        <f t="shared" si="25"/>
        <v>0</v>
      </c>
      <c r="AM61" s="342" t="s">
        <v>1953</v>
      </c>
      <c r="AN61" s="267" t="s">
        <v>2318</v>
      </c>
      <c r="AO61" s="143" t="s">
        <v>1145</v>
      </c>
      <c r="AP61" s="143" t="s">
        <v>1151</v>
      </c>
      <c r="AQ61" s="143"/>
      <c r="AR61" s="143"/>
      <c r="AS61" s="143"/>
      <c r="AT61" s="143">
        <v>5</v>
      </c>
      <c r="AU61" s="143" t="str">
        <f>IF(AND(strength&gt;1,dexterity&gt;1,stamina&gt;1,brawl&gt;1),"Yes","No")</f>
        <v>No</v>
      </c>
      <c r="AV61" s="143" t="s">
        <v>14</v>
      </c>
      <c r="AW61" s="62">
        <f t="shared" ca="1" si="0"/>
        <v>0</v>
      </c>
      <c r="AX61" s="61">
        <f t="shared" ref="AX61:AX69" si="39">IF(clan1&lt;&gt;"",IF(OR(L61=VLOOKUP(clan1,ClanTable,2,FALSE),L61=VLOOKUP(clan1,ClanTable,3,FALSE),L61=VLOOKUP(clan1,ClanTable,4,FALSE)),5,7),0)</f>
        <v>0</v>
      </c>
      <c r="AY61" s="143">
        <f t="shared" si="35"/>
        <v>0</v>
      </c>
      <c r="AZ61" s="143">
        <f t="shared" si="36"/>
        <v>0</v>
      </c>
      <c r="BA61" s="62">
        <f t="shared" si="37"/>
        <v>0</v>
      </c>
      <c r="CC61" s="450"/>
      <c r="CD61" s="450"/>
      <c r="CE61" s="450"/>
      <c r="CF61" s="450"/>
      <c r="CG61" s="450"/>
      <c r="CH61" s="450"/>
      <c r="CI61" s="450"/>
      <c r="CJ61" s="450"/>
      <c r="CK61" s="450"/>
      <c r="CL61" s="450"/>
      <c r="CM61" s="450"/>
      <c r="CN61" s="450"/>
      <c r="CO61" s="450"/>
      <c r="CP61" s="450"/>
      <c r="CQ61" s="450"/>
      <c r="CR61" s="450"/>
    </row>
    <row r="62" spans="2:96" ht="14.25" customHeight="1" x14ac:dyDescent="0.2">
      <c r="B62" s="719"/>
      <c r="C62" s="720"/>
      <c r="D62" s="563">
        <f t="shared" si="21"/>
        <v>0</v>
      </c>
      <c r="E62" s="178"/>
      <c r="F62" s="178"/>
      <c r="G62" s="178"/>
      <c r="H62" s="429">
        <f t="shared" si="26"/>
        <v>0</v>
      </c>
      <c r="I62" s="429">
        <f t="shared" si="22"/>
        <v>0</v>
      </c>
      <c r="J62" s="151" t="str">
        <f t="shared" si="27"/>
        <v/>
      </c>
      <c r="L62" s="725" t="s">
        <v>208</v>
      </c>
      <c r="M62" s="726"/>
      <c r="N62" s="153">
        <f t="shared" si="32"/>
        <v>0</v>
      </c>
      <c r="O62" s="35"/>
      <c r="P62" s="148"/>
      <c r="Q62" s="148"/>
      <c r="R62" s="154" t="s">
        <v>14</v>
      </c>
      <c r="S62" s="472">
        <f t="shared" si="33"/>
        <v>0</v>
      </c>
      <c r="T62" s="155">
        <f t="shared" si="38"/>
        <v>0</v>
      </c>
      <c r="U62" s="179" t="s">
        <v>12</v>
      </c>
      <c r="V62" s="429" t="s">
        <v>12</v>
      </c>
      <c r="W62" s="429" t="s">
        <v>12</v>
      </c>
      <c r="X62" s="429" t="s">
        <v>12</v>
      </c>
      <c r="Y62" s="429" t="s">
        <v>12</v>
      </c>
      <c r="Z62" s="121">
        <f t="shared" si="34"/>
        <v>0</v>
      </c>
      <c r="AD62" s="96">
        <v>22</v>
      </c>
      <c r="AE62" s="98" t="s">
        <v>926</v>
      </c>
      <c r="AF62" s="99" t="s">
        <v>927</v>
      </c>
      <c r="AG62" s="100" t="s">
        <v>928</v>
      </c>
      <c r="AH62" s="100" t="s">
        <v>929</v>
      </c>
      <c r="AI62" s="101" t="s">
        <v>930</v>
      </c>
      <c r="AJ62" s="146">
        <f t="shared" si="23"/>
        <v>0</v>
      </c>
      <c r="AK62" s="146">
        <f t="shared" si="24"/>
        <v>0</v>
      </c>
      <c r="AL62" s="147">
        <f t="shared" si="25"/>
        <v>0</v>
      </c>
      <c r="AM62" s="342" t="s">
        <v>1954</v>
      </c>
      <c r="AN62" s="267" t="s">
        <v>1694</v>
      </c>
      <c r="AO62" s="143" t="s">
        <v>1189</v>
      </c>
      <c r="AP62" s="143">
        <v>1</v>
      </c>
      <c r="AQ62" s="143"/>
      <c r="AR62" s="143"/>
      <c r="AS62" s="143"/>
      <c r="AT62" s="143">
        <v>1</v>
      </c>
      <c r="AU62" s="143" t="str">
        <f>IF(AND(dexterity&gt;1,wits&gt;1,brawl&gt;1,firearms&gt;1),"Yes","No")</f>
        <v>No</v>
      </c>
      <c r="AV62" s="143" t="s">
        <v>14</v>
      </c>
      <c r="AW62" s="62">
        <f t="shared" ca="1" si="0"/>
        <v>0</v>
      </c>
      <c r="AX62" s="61">
        <f t="shared" si="39"/>
        <v>0</v>
      </c>
      <c r="AY62" s="143">
        <f t="shared" si="35"/>
        <v>0</v>
      </c>
      <c r="AZ62" s="143">
        <f t="shared" si="36"/>
        <v>0</v>
      </c>
      <c r="BA62" s="62">
        <f t="shared" si="37"/>
        <v>0</v>
      </c>
      <c r="CC62" s="892" t="s">
        <v>178</v>
      </c>
      <c r="CD62" s="893"/>
      <c r="CE62" s="893" t="s">
        <v>1</v>
      </c>
      <c r="CF62" s="893"/>
      <c r="CG62" s="893"/>
      <c r="CH62" s="461" t="s">
        <v>1865</v>
      </c>
      <c r="CI62" s="893" t="s">
        <v>1866</v>
      </c>
      <c r="CJ62" s="893"/>
      <c r="CK62" s="893"/>
      <c r="CL62" s="894"/>
      <c r="CM62" s="668" t="s">
        <v>2182</v>
      </c>
      <c r="CN62" s="669"/>
      <c r="CO62" s="669"/>
      <c r="CP62" s="669"/>
      <c r="CQ62" s="669"/>
      <c r="CR62" s="670"/>
    </row>
    <row r="63" spans="2:96" ht="14.25" customHeight="1" x14ac:dyDescent="0.2">
      <c r="B63" s="719"/>
      <c r="C63" s="720"/>
      <c r="D63" s="563">
        <f t="shared" si="21"/>
        <v>0</v>
      </c>
      <c r="E63" s="178"/>
      <c r="F63" s="178"/>
      <c r="G63" s="178"/>
      <c r="H63" s="429">
        <f t="shared" si="26"/>
        <v>0</v>
      </c>
      <c r="I63" s="429">
        <f t="shared" si="22"/>
        <v>0</v>
      </c>
      <c r="J63" s="151" t="str">
        <f t="shared" si="27"/>
        <v/>
      </c>
      <c r="L63" s="742" t="s">
        <v>810</v>
      </c>
      <c r="M63" s="743"/>
      <c r="N63" s="153">
        <f t="shared" si="32"/>
        <v>0</v>
      </c>
      <c r="O63" s="156"/>
      <c r="P63" s="157"/>
      <c r="Q63" s="157"/>
      <c r="R63" s="154" t="s">
        <v>14</v>
      </c>
      <c r="S63" s="472">
        <f t="shared" si="33"/>
        <v>0</v>
      </c>
      <c r="T63" s="155">
        <f t="shared" si="38"/>
        <v>0</v>
      </c>
      <c r="U63" s="177"/>
      <c r="V63" s="178"/>
      <c r="W63" s="178"/>
      <c r="X63" s="178"/>
      <c r="Y63" s="178"/>
      <c r="Z63" s="121">
        <f t="shared" si="34"/>
        <v>0</v>
      </c>
      <c r="AD63" s="96">
        <v>23</v>
      </c>
      <c r="AE63" s="98" t="s">
        <v>931</v>
      </c>
      <c r="AF63" s="99" t="s">
        <v>932</v>
      </c>
      <c r="AG63" s="100" t="s">
        <v>933</v>
      </c>
      <c r="AH63" s="100" t="s">
        <v>934</v>
      </c>
      <c r="AI63" s="101" t="s">
        <v>935</v>
      </c>
      <c r="AJ63" s="146">
        <f t="shared" si="23"/>
        <v>0</v>
      </c>
      <c r="AK63" s="146">
        <f t="shared" si="24"/>
        <v>0</v>
      </c>
      <c r="AL63" s="147">
        <f t="shared" si="25"/>
        <v>0</v>
      </c>
      <c r="AM63" s="342" t="s">
        <v>1955</v>
      </c>
      <c r="AN63" s="267" t="s">
        <v>1657</v>
      </c>
      <c r="AO63" s="143" t="s">
        <v>1190</v>
      </c>
      <c r="AP63" s="143" t="s">
        <v>1151</v>
      </c>
      <c r="AQ63" s="143"/>
      <c r="AR63" s="143"/>
      <c r="AS63" s="143"/>
      <c r="AT63" s="143">
        <v>3</v>
      </c>
      <c r="AU63" s="143" t="str">
        <f>IF(strength&gt;1,"Yes","No")</f>
        <v>No</v>
      </c>
      <c r="AV63" s="143" t="s">
        <v>14</v>
      </c>
      <c r="AW63" s="62">
        <f t="shared" ca="1" si="0"/>
        <v>0</v>
      </c>
      <c r="AX63" s="61">
        <f t="shared" si="39"/>
        <v>0</v>
      </c>
      <c r="AY63" s="143">
        <f t="shared" si="35"/>
        <v>0</v>
      </c>
      <c r="AZ63" s="143">
        <f t="shared" si="36"/>
        <v>0</v>
      </c>
      <c r="BA63" s="62">
        <f t="shared" si="37"/>
        <v>0</v>
      </c>
      <c r="CC63" s="608" t="str">
        <f>IF(animalism&gt;=1,"Animalism 1","")</f>
        <v/>
      </c>
      <c r="CD63" s="609"/>
      <c r="CE63" s="609" t="str">
        <f t="shared" ref="CE63:CE72" si="40">IF(CC63&lt;&gt;"",VLOOKUP(CC63,Disciplinechart,2,FALSE),"")</f>
        <v/>
      </c>
      <c r="CF63" s="609"/>
      <c r="CG63" s="609"/>
      <c r="CH63" s="452" t="str">
        <f t="shared" ref="CH63:CH69" si="41">IF(CC63&lt;&gt;"",VLOOKUP(CC63,Disciplinechart,4,FALSE),"")</f>
        <v/>
      </c>
      <c r="CI63" s="609" t="str">
        <f t="shared" ref="CI63:CI69" si="42">IF(CC63&lt;&gt;"",VLOOKUP(CC63,Disciplinechart,6,FALSE),"")</f>
        <v/>
      </c>
      <c r="CJ63" s="609"/>
      <c r="CK63" s="609"/>
      <c r="CL63" s="610"/>
      <c r="CM63" s="659" t="s">
        <v>2205</v>
      </c>
      <c r="CN63" s="660"/>
      <c r="CO63" s="474">
        <f ca="1">health</f>
        <v>6</v>
      </c>
      <c r="CP63" s="660" t="str">
        <f ca="1">CONCATENATE("( + Resilience = ",health+resilience,")")</f>
        <v>( + Resilience = 6)</v>
      </c>
      <c r="CQ63" s="660"/>
      <c r="CR63" s="661"/>
    </row>
    <row r="64" spans="2:96" ht="14.25" customHeight="1" x14ac:dyDescent="0.2">
      <c r="B64" s="719"/>
      <c r="C64" s="720"/>
      <c r="D64" s="563">
        <f t="shared" si="21"/>
        <v>0</v>
      </c>
      <c r="E64" s="178"/>
      <c r="F64" s="178"/>
      <c r="G64" s="178"/>
      <c r="H64" s="429">
        <f t="shared" si="26"/>
        <v>0</v>
      </c>
      <c r="I64" s="429">
        <f t="shared" si="22"/>
        <v>0</v>
      </c>
      <c r="J64" s="151" t="str">
        <f t="shared" si="27"/>
        <v/>
      </c>
      <c r="L64" s="725" t="s">
        <v>811</v>
      </c>
      <c r="M64" s="726"/>
      <c r="N64" s="153">
        <f t="shared" si="32"/>
        <v>0</v>
      </c>
      <c r="O64" s="35"/>
      <c r="P64" s="148"/>
      <c r="Q64" s="148"/>
      <c r="R64" s="154" t="s">
        <v>14</v>
      </c>
      <c r="S64" s="472">
        <f t="shared" si="33"/>
        <v>0</v>
      </c>
      <c r="T64" s="155">
        <f t="shared" si="38"/>
        <v>0</v>
      </c>
      <c r="U64" s="177"/>
      <c r="V64" s="178"/>
      <c r="W64" s="178"/>
      <c r="X64" s="178"/>
      <c r="Y64" s="178"/>
      <c r="Z64" s="121">
        <f t="shared" si="34"/>
        <v>0</v>
      </c>
      <c r="AD64" s="96">
        <v>24</v>
      </c>
      <c r="AE64" s="98" t="s">
        <v>936</v>
      </c>
      <c r="AF64" s="99" t="s">
        <v>937</v>
      </c>
      <c r="AG64" s="100" t="s">
        <v>938</v>
      </c>
      <c r="AH64" s="100" t="s">
        <v>939</v>
      </c>
      <c r="AI64" s="101" t="s">
        <v>940</v>
      </c>
      <c r="AJ64" s="146">
        <f t="shared" si="23"/>
        <v>0</v>
      </c>
      <c r="AK64" s="146">
        <f t="shared" si="24"/>
        <v>0</v>
      </c>
      <c r="AL64" s="147">
        <f t="shared" si="25"/>
        <v>0</v>
      </c>
      <c r="AM64" s="342" t="s">
        <v>1956</v>
      </c>
      <c r="AN64" s="267" t="s">
        <v>1708</v>
      </c>
      <c r="AO64" s="143" t="s">
        <v>1281</v>
      </c>
      <c r="AP64" s="143">
        <v>1</v>
      </c>
      <c r="AQ64" s="143"/>
      <c r="AR64" s="143"/>
      <c r="AS64" s="143"/>
      <c r="AT64" s="143">
        <v>1</v>
      </c>
      <c r="AU64" s="143" t="str">
        <f ca="1">IF(AW48&gt;0,"Yes","No")</f>
        <v>No</v>
      </c>
      <c r="AV64" s="143" t="s">
        <v>14</v>
      </c>
      <c r="AW64" s="62">
        <f t="shared" ca="1" si="0"/>
        <v>0</v>
      </c>
      <c r="AX64" s="61">
        <f t="shared" si="39"/>
        <v>0</v>
      </c>
      <c r="AY64" s="143">
        <f t="shared" si="35"/>
        <v>0</v>
      </c>
      <c r="AZ64" s="143">
        <f t="shared" si="36"/>
        <v>0</v>
      </c>
      <c r="BA64" s="62">
        <f t="shared" si="37"/>
        <v>0</v>
      </c>
      <c r="CC64" s="608" t="str">
        <f>IF(animalism&gt;=2,"Animalism 2","")</f>
        <v/>
      </c>
      <c r="CD64" s="609"/>
      <c r="CE64" s="609" t="str">
        <f t="shared" si="40"/>
        <v/>
      </c>
      <c r="CF64" s="609"/>
      <c r="CG64" s="609"/>
      <c r="CH64" s="452" t="str">
        <f t="shared" si="41"/>
        <v/>
      </c>
      <c r="CI64" s="609" t="str">
        <f t="shared" si="42"/>
        <v/>
      </c>
      <c r="CJ64" s="609"/>
      <c r="CK64" s="609"/>
      <c r="CL64" s="610"/>
      <c r="CM64" s="608" t="s">
        <v>2206</v>
      </c>
      <c r="CN64" s="609"/>
      <c r="CO64" s="452">
        <f ca="1">speedadj</f>
        <v>7</v>
      </c>
      <c r="CP64" s="1062" t="str">
        <f>IF(auspex&gt;4,CONCATENATE("Twighlight Spd:"),"")</f>
        <v/>
      </c>
      <c r="CQ64" s="1062"/>
      <c r="CR64" s="598" t="str">
        <f>IF(auspex&gt;4,(willpower+auspex+BP)*2,"")</f>
        <v/>
      </c>
    </row>
    <row r="65" spans="2:96" ht="14.25" customHeight="1" x14ac:dyDescent="0.2">
      <c r="B65" s="719"/>
      <c r="C65" s="720"/>
      <c r="D65" s="563">
        <f t="shared" si="21"/>
        <v>0</v>
      </c>
      <c r="E65" s="178"/>
      <c r="F65" s="178"/>
      <c r="G65" s="178"/>
      <c r="H65" s="429">
        <f t="shared" si="26"/>
        <v>0</v>
      </c>
      <c r="I65" s="429">
        <f t="shared" si="22"/>
        <v>0</v>
      </c>
      <c r="J65" s="151" t="str">
        <f t="shared" si="27"/>
        <v/>
      </c>
      <c r="L65" s="742" t="s">
        <v>812</v>
      </c>
      <c r="M65" s="743"/>
      <c r="N65" s="153">
        <f t="shared" si="32"/>
        <v>0</v>
      </c>
      <c r="O65" s="156"/>
      <c r="P65" s="157"/>
      <c r="Q65" s="157"/>
      <c r="R65" s="154" t="s">
        <v>14</v>
      </c>
      <c r="S65" s="472">
        <f t="shared" si="33"/>
        <v>0</v>
      </c>
      <c r="T65" s="155">
        <f t="shared" si="38"/>
        <v>0</v>
      </c>
      <c r="U65" s="177"/>
      <c r="V65" s="178"/>
      <c r="W65" s="178"/>
      <c r="X65" s="178"/>
      <c r="Y65" s="178"/>
      <c r="Z65" s="121">
        <f t="shared" si="34"/>
        <v>0</v>
      </c>
      <c r="AD65" s="96">
        <v>25</v>
      </c>
      <c r="AE65" s="98" t="s">
        <v>941</v>
      </c>
      <c r="AF65" s="99" t="s">
        <v>942</v>
      </c>
      <c r="AG65" s="100" t="s">
        <v>943</v>
      </c>
      <c r="AH65" s="100" t="s">
        <v>944</v>
      </c>
      <c r="AI65" s="101" t="s">
        <v>945</v>
      </c>
      <c r="AJ65" s="146">
        <f t="shared" si="23"/>
        <v>0</v>
      </c>
      <c r="AK65" s="146">
        <f t="shared" si="24"/>
        <v>0</v>
      </c>
      <c r="AL65" s="147">
        <f t="shared" si="25"/>
        <v>0</v>
      </c>
      <c r="AM65" s="342" t="s">
        <v>1957</v>
      </c>
      <c r="AN65" s="267" t="s">
        <v>1678</v>
      </c>
      <c r="AO65" s="143" t="s">
        <v>1282</v>
      </c>
      <c r="AP65" s="143">
        <v>2</v>
      </c>
      <c r="AQ65" s="143"/>
      <c r="AR65" s="143"/>
      <c r="AS65" s="143"/>
      <c r="AT65" s="143">
        <v>2</v>
      </c>
      <c r="AU65" s="143" t="str">
        <f ca="1">IF(AW49&gt;0,"Yes","No")</f>
        <v>No</v>
      </c>
      <c r="AV65" s="143" t="s">
        <v>14</v>
      </c>
      <c r="AW65" s="62">
        <f t="shared" ca="1" si="0"/>
        <v>0</v>
      </c>
      <c r="AX65" s="61">
        <f t="shared" si="39"/>
        <v>0</v>
      </c>
      <c r="AY65" s="143">
        <f t="shared" si="35"/>
        <v>0</v>
      </c>
      <c r="AZ65" s="143">
        <f t="shared" si="36"/>
        <v>0</v>
      </c>
      <c r="BA65" s="62">
        <f t="shared" si="37"/>
        <v>0</v>
      </c>
      <c r="CC65" s="608" t="str">
        <f>IF(animalism&gt;=3,"Animalism 3","")</f>
        <v/>
      </c>
      <c r="CD65" s="609"/>
      <c r="CE65" s="609" t="str">
        <f t="shared" si="40"/>
        <v/>
      </c>
      <c r="CF65" s="609"/>
      <c r="CG65" s="609"/>
      <c r="CH65" s="452" t="str">
        <f t="shared" si="41"/>
        <v/>
      </c>
      <c r="CI65" s="609" t="str">
        <f t="shared" si="42"/>
        <v/>
      </c>
      <c r="CJ65" s="609"/>
      <c r="CK65" s="609"/>
      <c r="CL65" s="610"/>
      <c r="CM65" s="608" t="s">
        <v>2207</v>
      </c>
      <c r="CN65" s="609"/>
      <c r="CO65" s="452">
        <f ca="1">(speedadj+celerity)*2</f>
        <v>14</v>
      </c>
      <c r="CP65" s="609" t="str">
        <f ca="1">CONCATENATE("Running Vigor: ",speedadj+vigor)</f>
        <v>Running Vigor: 7</v>
      </c>
      <c r="CQ65" s="609"/>
      <c r="CR65" s="610"/>
    </row>
    <row r="66" spans="2:96" ht="14.25" customHeight="1" x14ac:dyDescent="0.2">
      <c r="B66" s="719"/>
      <c r="C66" s="720"/>
      <c r="D66" s="563">
        <f t="shared" si="21"/>
        <v>0</v>
      </c>
      <c r="E66" s="178"/>
      <c r="F66" s="178"/>
      <c r="G66" s="178"/>
      <c r="H66" s="429">
        <f t="shared" si="26"/>
        <v>0</v>
      </c>
      <c r="I66" s="429">
        <f t="shared" si="22"/>
        <v>0</v>
      </c>
      <c r="J66" s="151" t="str">
        <f t="shared" si="27"/>
        <v/>
      </c>
      <c r="L66" s="725" t="s">
        <v>813</v>
      </c>
      <c r="M66" s="726"/>
      <c r="N66" s="153">
        <f t="shared" si="32"/>
        <v>0</v>
      </c>
      <c r="O66" s="35"/>
      <c r="P66" s="148"/>
      <c r="Q66" s="148"/>
      <c r="R66" s="154" t="s">
        <v>14</v>
      </c>
      <c r="S66" s="472">
        <f t="shared" si="33"/>
        <v>0</v>
      </c>
      <c r="T66" s="155">
        <f t="shared" si="38"/>
        <v>0</v>
      </c>
      <c r="U66" s="177"/>
      <c r="V66" s="429" t="s">
        <v>12</v>
      </c>
      <c r="W66" s="178"/>
      <c r="X66" s="178"/>
      <c r="Y66" s="178"/>
      <c r="Z66" s="121">
        <f t="shared" si="34"/>
        <v>0</v>
      </c>
      <c r="AD66" s="96">
        <v>26</v>
      </c>
      <c r="AE66" s="98" t="s">
        <v>946</v>
      </c>
      <c r="AF66" s="99" t="s">
        <v>947</v>
      </c>
      <c r="AG66" s="100" t="s">
        <v>948</v>
      </c>
      <c r="AH66" s="100" t="s">
        <v>949</v>
      </c>
      <c r="AI66" s="101" t="s">
        <v>950</v>
      </c>
      <c r="AJ66" s="146">
        <f t="shared" si="23"/>
        <v>0</v>
      </c>
      <c r="AK66" s="146">
        <f t="shared" si="24"/>
        <v>0</v>
      </c>
      <c r="AL66" s="147">
        <f t="shared" si="25"/>
        <v>0</v>
      </c>
      <c r="AM66" s="1050" t="s">
        <v>1958</v>
      </c>
      <c r="AN66" s="268" t="s">
        <v>1754</v>
      </c>
      <c r="AO66" s="143" t="s">
        <v>1276</v>
      </c>
      <c r="AP66" s="143" t="s">
        <v>1151</v>
      </c>
      <c r="AQ66" s="143"/>
      <c r="AR66" s="143"/>
      <c r="AS66" s="143"/>
      <c r="AT66" s="143">
        <v>3</v>
      </c>
      <c r="AU66" s="143" t="str">
        <f>IF(AND(covenant1="Ordo Dracul",occult&gt;2,wits&gt;1),"Yes","No")</f>
        <v>No</v>
      </c>
      <c r="AV66" s="143" t="s">
        <v>14</v>
      </c>
      <c r="AW66" s="62">
        <f t="shared" ca="1" si="0"/>
        <v>0</v>
      </c>
      <c r="AX66" s="61">
        <f t="shared" si="39"/>
        <v>0</v>
      </c>
      <c r="AY66" s="143">
        <f t="shared" si="35"/>
        <v>0</v>
      </c>
      <c r="AZ66" s="143">
        <f t="shared" si="36"/>
        <v>0</v>
      </c>
      <c r="BA66" s="62">
        <f t="shared" si="37"/>
        <v>0</v>
      </c>
      <c r="CC66" s="608" t="str">
        <f>IF(animalism&gt;=4,"Animalism 4","")</f>
        <v/>
      </c>
      <c r="CD66" s="609"/>
      <c r="CE66" s="609" t="str">
        <f t="shared" si="40"/>
        <v/>
      </c>
      <c r="CF66" s="609"/>
      <c r="CG66" s="609"/>
      <c r="CH66" s="452" t="str">
        <f t="shared" si="41"/>
        <v/>
      </c>
      <c r="CI66" s="609" t="str">
        <f t="shared" si="42"/>
        <v/>
      </c>
      <c r="CJ66" s="609"/>
      <c r="CK66" s="609"/>
      <c r="CL66" s="610"/>
      <c r="CM66" s="608" t="s">
        <v>2208</v>
      </c>
      <c r="CN66" s="609"/>
      <c r="CO66" s="609"/>
      <c r="CP66" s="609"/>
      <c r="CQ66" s="452">
        <f ca="1">(speedadj+vigor+celerity)*2</f>
        <v>14</v>
      </c>
      <c r="CR66" s="460"/>
    </row>
    <row r="67" spans="2:96" ht="14.25" customHeight="1" x14ac:dyDescent="0.2">
      <c r="B67" s="719"/>
      <c r="C67" s="720"/>
      <c r="D67" s="563">
        <f t="shared" si="21"/>
        <v>0</v>
      </c>
      <c r="E67" s="178"/>
      <c r="F67" s="178"/>
      <c r="G67" s="178"/>
      <c r="H67" s="429">
        <f t="shared" si="26"/>
        <v>0</v>
      </c>
      <c r="I67" s="429">
        <f t="shared" si="22"/>
        <v>0</v>
      </c>
      <c r="J67" s="151" t="str">
        <f t="shared" si="27"/>
        <v/>
      </c>
      <c r="L67" s="742" t="s">
        <v>814</v>
      </c>
      <c r="M67" s="743"/>
      <c r="N67" s="153">
        <f>IF(bloodline&lt;&gt;"",BA67,AY67)</f>
        <v>0</v>
      </c>
      <c r="O67" s="156"/>
      <c r="P67" s="157"/>
      <c r="Q67" s="157"/>
      <c r="R67" s="154" t="s">
        <v>14</v>
      </c>
      <c r="S67" s="472">
        <f t="shared" si="33"/>
        <v>0</v>
      </c>
      <c r="T67" s="155">
        <f t="shared" si="38"/>
        <v>0</v>
      </c>
      <c r="U67" s="179" t="s">
        <v>12</v>
      </c>
      <c r="V67" s="429" t="s">
        <v>12</v>
      </c>
      <c r="W67" s="429" t="s">
        <v>12</v>
      </c>
      <c r="X67" s="429" t="s">
        <v>12</v>
      </c>
      <c r="Y67" s="429" t="s">
        <v>12</v>
      </c>
      <c r="Z67" s="121">
        <f t="shared" si="34"/>
        <v>0</v>
      </c>
      <c r="AD67" s="96">
        <v>27</v>
      </c>
      <c r="AE67" s="98" t="s">
        <v>951</v>
      </c>
      <c r="AF67" s="99" t="s">
        <v>952</v>
      </c>
      <c r="AG67" s="100" t="s">
        <v>953</v>
      </c>
      <c r="AH67" s="100" t="s">
        <v>954</v>
      </c>
      <c r="AI67" s="101" t="s">
        <v>955</v>
      </c>
      <c r="AJ67" s="146">
        <f t="shared" si="23"/>
        <v>0</v>
      </c>
      <c r="AK67" s="146">
        <f t="shared" si="24"/>
        <v>0</v>
      </c>
      <c r="AL67" s="147">
        <f t="shared" si="25"/>
        <v>0</v>
      </c>
      <c r="AM67" s="1050" t="s">
        <v>1959</v>
      </c>
      <c r="AN67" s="269" t="s">
        <v>1768</v>
      </c>
      <c r="AO67" s="143" t="s">
        <v>1277</v>
      </c>
      <c r="AP67" s="143" t="s">
        <v>1151</v>
      </c>
      <c r="AQ67" s="143"/>
      <c r="AR67" s="143"/>
      <c r="AS67" s="143"/>
      <c r="AT67" s="143">
        <v>5</v>
      </c>
      <c r="AU67" s="143" t="str">
        <f>IF(AND(covenant1="Ordo Dracul",occult&gt;2,wits&gt;1),"Yes","No")</f>
        <v>No</v>
      </c>
      <c r="AV67" s="143" t="s">
        <v>14</v>
      </c>
      <c r="AW67" s="62">
        <f t="shared" ca="1" si="0"/>
        <v>0</v>
      </c>
      <c r="AX67" s="61">
        <f t="shared" si="39"/>
        <v>0</v>
      </c>
      <c r="AY67" s="143">
        <f t="shared" si="35"/>
        <v>0</v>
      </c>
      <c r="AZ67" s="143">
        <f t="shared" si="36"/>
        <v>0</v>
      </c>
      <c r="BA67" s="62">
        <f t="shared" si="37"/>
        <v>0</v>
      </c>
      <c r="CC67" s="608" t="str">
        <f>IF(animalism&gt;=5,"Animalism 5","")</f>
        <v/>
      </c>
      <c r="CD67" s="609"/>
      <c r="CE67" s="609" t="str">
        <f t="shared" si="40"/>
        <v/>
      </c>
      <c r="CF67" s="609"/>
      <c r="CG67" s="609"/>
      <c r="CH67" s="452" t="str">
        <f t="shared" si="41"/>
        <v/>
      </c>
      <c r="CI67" s="609" t="str">
        <f t="shared" si="42"/>
        <v/>
      </c>
      <c r="CJ67" s="609"/>
      <c r="CK67" s="609"/>
      <c r="CL67" s="610"/>
      <c r="CM67" s="608" t="s">
        <v>2209</v>
      </c>
      <c r="CN67" s="609"/>
      <c r="CO67" s="452">
        <f ca="1">initiativeadj</f>
        <v>2</v>
      </c>
      <c r="CP67" s="609" t="str">
        <f ca="1">CONCATENATE("(+Celerity = ",initiativeadj+celerity,")")</f>
        <v>(+Celerity = 2)</v>
      </c>
      <c r="CQ67" s="609"/>
      <c r="CR67" s="610"/>
    </row>
    <row r="68" spans="2:96" ht="14.25" customHeight="1" x14ac:dyDescent="0.2">
      <c r="B68" s="719"/>
      <c r="C68" s="720"/>
      <c r="D68" s="563">
        <f t="shared" si="21"/>
        <v>0</v>
      </c>
      <c r="E68" s="178"/>
      <c r="F68" s="178"/>
      <c r="G68" s="178"/>
      <c r="H68" s="429">
        <f t="shared" si="26"/>
        <v>0</v>
      </c>
      <c r="I68" s="429">
        <f t="shared" si="22"/>
        <v>0</v>
      </c>
      <c r="J68" s="151" t="str">
        <f t="shared" si="27"/>
        <v/>
      </c>
      <c r="L68" s="725" t="s">
        <v>262</v>
      </c>
      <c r="M68" s="726"/>
      <c r="N68" s="153">
        <f t="shared" si="32"/>
        <v>0</v>
      </c>
      <c r="O68" s="35"/>
      <c r="P68" s="148"/>
      <c r="Q68" s="148"/>
      <c r="R68" s="154" t="s">
        <v>14</v>
      </c>
      <c r="S68" s="472">
        <f t="shared" si="33"/>
        <v>0</v>
      </c>
      <c r="T68" s="155">
        <f t="shared" si="38"/>
        <v>0</v>
      </c>
      <c r="U68" s="179" t="s">
        <v>12</v>
      </c>
      <c r="V68" s="429" t="s">
        <v>12</v>
      </c>
      <c r="W68" s="429" t="s">
        <v>12</v>
      </c>
      <c r="X68" s="429" t="s">
        <v>12</v>
      </c>
      <c r="Y68" s="429" t="s">
        <v>12</v>
      </c>
      <c r="Z68" s="121">
        <f t="shared" si="34"/>
        <v>0</v>
      </c>
      <c r="AD68" s="96">
        <v>28</v>
      </c>
      <c r="AE68" s="98" t="s">
        <v>956</v>
      </c>
      <c r="AF68" s="99" t="s">
        <v>957</v>
      </c>
      <c r="AG68" s="100" t="s">
        <v>958</v>
      </c>
      <c r="AH68" s="100" t="s">
        <v>959</v>
      </c>
      <c r="AI68" s="101" t="s">
        <v>960</v>
      </c>
      <c r="AJ68" s="146">
        <f t="shared" si="23"/>
        <v>0</v>
      </c>
      <c r="AK68" s="146">
        <f t="shared" si="24"/>
        <v>0</v>
      </c>
      <c r="AL68" s="147">
        <f t="shared" si="25"/>
        <v>0</v>
      </c>
      <c r="AM68" s="1050" t="s">
        <v>1960</v>
      </c>
      <c r="AN68" s="269" t="s">
        <v>2320</v>
      </c>
      <c r="AO68" s="143" t="s">
        <v>2260</v>
      </c>
      <c r="AP68" s="143">
        <v>3</v>
      </c>
      <c r="AQ68" s="143"/>
      <c r="AR68" s="143"/>
      <c r="AS68" s="143"/>
      <c r="AT68" s="143">
        <v>3</v>
      </c>
      <c r="AU68" s="143" t="s">
        <v>806</v>
      </c>
      <c r="AV68" s="143" t="s">
        <v>32</v>
      </c>
      <c r="AW68" s="62">
        <f t="shared" ref="AW68:AW133" ca="1" si="43">SUMIF($B$46:$C$90,AO68,$D$46:$D$90)</f>
        <v>0</v>
      </c>
      <c r="AX68" s="61">
        <f t="shared" si="39"/>
        <v>0</v>
      </c>
      <c r="AY68" s="143">
        <f t="shared" si="35"/>
        <v>0</v>
      </c>
      <c r="AZ68" s="143">
        <f t="shared" si="36"/>
        <v>0</v>
      </c>
      <c r="BA68" s="62">
        <f t="shared" si="37"/>
        <v>0</v>
      </c>
      <c r="CC68" s="608" t="str">
        <f>IF(auspex&gt;=1,"Auspex 1","")</f>
        <v/>
      </c>
      <c r="CD68" s="609"/>
      <c r="CE68" s="609" t="str">
        <f t="shared" si="40"/>
        <v/>
      </c>
      <c r="CF68" s="609"/>
      <c r="CG68" s="609"/>
      <c r="CH68" s="452" t="str">
        <f t="shared" si="41"/>
        <v/>
      </c>
      <c r="CI68" s="609" t="str">
        <f t="shared" si="42"/>
        <v/>
      </c>
      <c r="CJ68" s="609"/>
      <c r="CK68" s="609"/>
      <c r="CL68" s="610"/>
      <c r="CM68" s="608" t="s">
        <v>2194</v>
      </c>
      <c r="CN68" s="609"/>
      <c r="CO68" s="452">
        <f>defenseadj</f>
        <v>1</v>
      </c>
      <c r="CP68" s="459"/>
      <c r="CQ68" s="459"/>
      <c r="CR68" s="460"/>
    </row>
    <row r="69" spans="2:96" ht="14.25" customHeight="1" thickBot="1" x14ac:dyDescent="0.25">
      <c r="B69" s="719"/>
      <c r="C69" s="720"/>
      <c r="D69" s="563">
        <f t="shared" si="21"/>
        <v>0</v>
      </c>
      <c r="E69" s="178"/>
      <c r="F69" s="178"/>
      <c r="G69" s="178"/>
      <c r="H69" s="429">
        <f t="shared" si="26"/>
        <v>0</v>
      </c>
      <c r="I69" s="429">
        <f t="shared" si="22"/>
        <v>0</v>
      </c>
      <c r="J69" s="151" t="str">
        <f t="shared" si="27"/>
        <v/>
      </c>
      <c r="L69" s="727" t="s">
        <v>263</v>
      </c>
      <c r="M69" s="728"/>
      <c r="N69" s="220">
        <f t="shared" si="32"/>
        <v>0</v>
      </c>
      <c r="O69" s="221"/>
      <c r="P69" s="222"/>
      <c r="Q69" s="222"/>
      <c r="R69" s="223" t="s">
        <v>14</v>
      </c>
      <c r="S69" s="224">
        <f t="shared" si="33"/>
        <v>0</v>
      </c>
      <c r="T69" s="225">
        <f t="shared" si="38"/>
        <v>0</v>
      </c>
      <c r="U69" s="226" t="s">
        <v>12</v>
      </c>
      <c r="V69" s="227" t="s">
        <v>12</v>
      </c>
      <c r="W69" s="227" t="s">
        <v>12</v>
      </c>
      <c r="X69" s="227" t="s">
        <v>12</v>
      </c>
      <c r="Y69" s="227" t="s">
        <v>12</v>
      </c>
      <c r="Z69" s="228">
        <f t="shared" si="34"/>
        <v>0</v>
      </c>
      <c r="AD69" s="96">
        <v>29</v>
      </c>
      <c r="AE69" s="98" t="s">
        <v>961</v>
      </c>
      <c r="AF69" s="99" t="s">
        <v>962</v>
      </c>
      <c r="AG69" s="100" t="s">
        <v>963</v>
      </c>
      <c r="AH69" s="100" t="s">
        <v>964</v>
      </c>
      <c r="AI69" s="101" t="s">
        <v>965</v>
      </c>
      <c r="AJ69" s="146">
        <f t="shared" si="23"/>
        <v>0</v>
      </c>
      <c r="AK69" s="146">
        <f t="shared" si="24"/>
        <v>0</v>
      </c>
      <c r="AL69" s="147">
        <f t="shared" si="25"/>
        <v>0</v>
      </c>
      <c r="AM69" s="1050" t="s">
        <v>1961</v>
      </c>
      <c r="AN69" s="269" t="s">
        <v>1736</v>
      </c>
      <c r="AO69" s="143" t="s">
        <v>1191</v>
      </c>
      <c r="AP69" s="143">
        <v>4</v>
      </c>
      <c r="AQ69" s="143"/>
      <c r="AR69" s="143"/>
      <c r="AS69" s="143"/>
      <c r="AT69" s="143">
        <v>4</v>
      </c>
      <c r="AU69" s="143" t="s">
        <v>806</v>
      </c>
      <c r="AV69" s="143" t="s">
        <v>14</v>
      </c>
      <c r="AW69" s="62">
        <f t="shared" ca="1" si="43"/>
        <v>0</v>
      </c>
      <c r="AX69" s="72">
        <f t="shared" si="39"/>
        <v>0</v>
      </c>
      <c r="AY69" s="162">
        <f t="shared" si="35"/>
        <v>0</v>
      </c>
      <c r="AZ69" s="162">
        <f t="shared" si="36"/>
        <v>0</v>
      </c>
      <c r="BA69" s="62">
        <f t="shared" si="37"/>
        <v>0</v>
      </c>
      <c r="CC69" s="608" t="str">
        <f>IF(auspex&gt;=2,"Auspex 2","")</f>
        <v/>
      </c>
      <c r="CD69" s="609"/>
      <c r="CE69" s="609" t="str">
        <f t="shared" si="40"/>
        <v/>
      </c>
      <c r="CF69" s="609"/>
      <c r="CG69" s="609"/>
      <c r="CH69" s="452" t="str">
        <f t="shared" si="41"/>
        <v/>
      </c>
      <c r="CI69" s="609" t="str">
        <f t="shared" si="42"/>
        <v/>
      </c>
      <c r="CJ69" s="609"/>
      <c r="CK69" s="609"/>
      <c r="CL69" s="610"/>
      <c r="CM69" s="608" t="s">
        <v>2210</v>
      </c>
      <c r="CN69" s="609"/>
      <c r="CO69" s="452">
        <f>strength+brawl</f>
        <v>1</v>
      </c>
      <c r="CP69" s="609" t="str">
        <f>CONCATENATE("(+Vigor = ",strength+brawl+vigor,")")</f>
        <v>(+Vigor = 1)</v>
      </c>
      <c r="CQ69" s="609"/>
      <c r="CR69" s="460"/>
    </row>
    <row r="70" spans="2:96" ht="14.25" customHeight="1" x14ac:dyDescent="0.2">
      <c r="B70" s="719"/>
      <c r="C70" s="720"/>
      <c r="D70" s="563">
        <f t="shared" si="21"/>
        <v>0</v>
      </c>
      <c r="E70" s="178"/>
      <c r="F70" s="178"/>
      <c r="G70" s="178"/>
      <c r="H70" s="429">
        <f t="shared" si="26"/>
        <v>0</v>
      </c>
      <c r="I70" s="429">
        <f t="shared" si="22"/>
        <v>0</v>
      </c>
      <c r="J70" s="151" t="str">
        <f t="shared" si="27"/>
        <v/>
      </c>
      <c r="L70" s="885" t="s">
        <v>2011</v>
      </c>
      <c r="M70" s="886"/>
      <c r="N70" s="591">
        <f>IF(bloodline&lt;&gt;"",BA70,AY70)</f>
        <v>0</v>
      </c>
      <c r="O70" s="556"/>
      <c r="P70" s="359"/>
      <c r="Q70" s="359"/>
      <c r="R70" s="360" t="s">
        <v>32</v>
      </c>
      <c r="S70" s="579">
        <f>IF(N70&lt;5,((N70+1)*(IF(bloodline&lt;&gt;"",AZ70,AX70))),0)</f>
        <v>7</v>
      </c>
      <c r="T70" s="592">
        <f t="shared" si="38"/>
        <v>7</v>
      </c>
      <c r="U70" s="177"/>
      <c r="V70" s="178"/>
      <c r="W70" s="181" t="s">
        <v>12</v>
      </c>
      <c r="X70" s="181" t="s">
        <v>12</v>
      </c>
      <c r="Y70" s="178"/>
      <c r="Z70" s="121">
        <f>SUM(U70:Y70)</f>
        <v>0</v>
      </c>
      <c r="AD70" s="96">
        <v>30</v>
      </c>
      <c r="AE70" s="98" t="s">
        <v>966</v>
      </c>
      <c r="AF70" s="99" t="s">
        <v>967</v>
      </c>
      <c r="AG70" s="100" t="s">
        <v>968</v>
      </c>
      <c r="AH70" s="100" t="s">
        <v>969</v>
      </c>
      <c r="AI70" s="101" t="s">
        <v>970</v>
      </c>
      <c r="AJ70" s="146">
        <f t="shared" si="23"/>
        <v>0</v>
      </c>
      <c r="AK70" s="146">
        <f t="shared" si="24"/>
        <v>0</v>
      </c>
      <c r="AL70" s="147">
        <f t="shared" si="25"/>
        <v>0</v>
      </c>
      <c r="AM70" s="1050" t="s">
        <v>1962</v>
      </c>
      <c r="AN70" s="269" t="s">
        <v>2322</v>
      </c>
      <c r="AO70" s="143" t="s">
        <v>1192</v>
      </c>
      <c r="AP70" s="143">
        <v>2</v>
      </c>
      <c r="AQ70" s="143"/>
      <c r="AR70" s="143"/>
      <c r="AS70" s="143"/>
      <c r="AT70" s="143">
        <v>2</v>
      </c>
      <c r="AU70" s="143" t="str">
        <f>IF(OR(academics&gt;1,medicine&gt;1,science&gt;1),"Yes","No")</f>
        <v>No</v>
      </c>
      <c r="AV70" s="143" t="s">
        <v>14</v>
      </c>
      <c r="AW70" s="62">
        <f t="shared" ca="1" si="43"/>
        <v>0</v>
      </c>
      <c r="AX70" s="61">
        <v>7</v>
      </c>
      <c r="AY70" s="143">
        <f t="shared" ref="AY70" si="44">IF(AX70=0,0,VLOOKUP((((VLOOKUP((O70),mult_chart,2,TRUE)*AX70)+P70)/AX70),mult_chart2,2,TRUE))</f>
        <v>0</v>
      </c>
      <c r="AZ70" s="143">
        <v>7</v>
      </c>
      <c r="BA70" s="165">
        <f t="shared" si="37"/>
        <v>0</v>
      </c>
      <c r="CC70" s="608" t="str">
        <f>IF(auspex&gt;=3,"Auspex 3","")</f>
        <v/>
      </c>
      <c r="CD70" s="609"/>
      <c r="CE70" s="609" t="str">
        <f t="shared" si="40"/>
        <v/>
      </c>
      <c r="CF70" s="609"/>
      <c r="CG70" s="609"/>
      <c r="CH70" s="452" t="str">
        <f>IF(AB88="Yes",AC89,IF(CC70&lt;&gt;"",VLOOKUP(CC70,Disciplinechart,4,FALSE),""))</f>
        <v/>
      </c>
      <c r="CI70" s="609" t="str">
        <f t="shared" ref="CI70:CI71" si="45">IF(CC70&lt;&gt;"",VLOOKUP(CC70,Disciplinechart,6,FALSE),"")</f>
        <v/>
      </c>
      <c r="CJ70" s="609"/>
      <c r="CK70" s="609"/>
      <c r="CL70" s="610"/>
      <c r="CM70" s="608" t="s">
        <v>2211</v>
      </c>
      <c r="CN70" s="609"/>
      <c r="CO70" s="452">
        <f>dexterity+firearms</f>
        <v>1</v>
      </c>
      <c r="CP70" s="459"/>
      <c r="CQ70" s="459"/>
      <c r="CR70" s="460"/>
    </row>
    <row r="71" spans="2:96" ht="14.25" customHeight="1" thickBot="1" x14ac:dyDescent="0.25">
      <c r="B71" s="719"/>
      <c r="C71" s="720"/>
      <c r="D71" s="563">
        <f t="shared" si="21"/>
        <v>0</v>
      </c>
      <c r="E71" s="178"/>
      <c r="F71" s="178"/>
      <c r="G71" s="178"/>
      <c r="H71" s="429">
        <f t="shared" si="26"/>
        <v>0</v>
      </c>
      <c r="I71" s="429">
        <f t="shared" si="22"/>
        <v>0</v>
      </c>
      <c r="J71" s="151" t="str">
        <f t="shared" si="27"/>
        <v/>
      </c>
      <c r="L71" s="761" t="s">
        <v>1356</v>
      </c>
      <c r="M71" s="762"/>
      <c r="N71" s="361">
        <f>IF(bloodline&lt;&gt;"",BA71,AY71)</f>
        <v>0</v>
      </c>
      <c r="O71" s="237"/>
      <c r="P71" s="229"/>
      <c r="Q71" s="229"/>
      <c r="R71" s="230" t="str">
        <f>IF(covenant1="Ordo Dracul","Local","N/A")</f>
        <v>N/A</v>
      </c>
      <c r="S71" s="429">
        <f>IF(N71&lt;5,((N71+1)*(IF(bloodline&lt;&gt;"",AZ71,AX71))),0)</f>
        <v>7</v>
      </c>
      <c r="T71" s="362">
        <f t="shared" si="38"/>
        <v>7</v>
      </c>
      <c r="U71" s="180" t="s">
        <v>12</v>
      </c>
      <c r="V71" s="181" t="s">
        <v>12</v>
      </c>
      <c r="W71" s="181" t="s">
        <v>12</v>
      </c>
      <c r="X71" s="181" t="s">
        <v>12</v>
      </c>
      <c r="Y71" s="181" t="s">
        <v>12</v>
      </c>
      <c r="Z71" s="182">
        <f t="shared" ref="Z71" si="46">SUM(U71:Y71)</f>
        <v>0</v>
      </c>
      <c r="AD71" s="96">
        <v>31</v>
      </c>
      <c r="AE71" s="98" t="s">
        <v>971</v>
      </c>
      <c r="AF71" s="99" t="s">
        <v>972</v>
      </c>
      <c r="AG71" s="100" t="s">
        <v>973</v>
      </c>
      <c r="AH71" s="100" t="s">
        <v>974</v>
      </c>
      <c r="AI71" s="101" t="s">
        <v>975</v>
      </c>
      <c r="AJ71" s="146">
        <f t="shared" si="23"/>
        <v>0</v>
      </c>
      <c r="AK71" s="146">
        <f t="shared" si="24"/>
        <v>0</v>
      </c>
      <c r="AL71" s="147">
        <f t="shared" si="25"/>
        <v>0</v>
      </c>
      <c r="AM71" s="1050" t="s">
        <v>1963</v>
      </c>
      <c r="AN71" s="269" t="s">
        <v>1738</v>
      </c>
      <c r="AO71" s="143" t="s">
        <v>1193</v>
      </c>
      <c r="AP71" s="143">
        <v>3</v>
      </c>
      <c r="AQ71" s="143"/>
      <c r="AR71" s="143"/>
      <c r="AS71" s="143"/>
      <c r="AT71" s="143">
        <v>3</v>
      </c>
      <c r="AU71" s="143" t="str">
        <f>IF(AND(dexterity&gt;2,firearms&gt;2),"Yes","No")</f>
        <v>No</v>
      </c>
      <c r="AV71" s="143" t="s">
        <v>14</v>
      </c>
      <c r="AW71" s="62">
        <f t="shared" ca="1" si="43"/>
        <v>0</v>
      </c>
      <c r="AX71" s="72">
        <v>7</v>
      </c>
      <c r="AY71" s="162">
        <f>IF(AX71=0,0,VLOOKUP((((VLOOKUP((O71),mult_chart,2,TRUE)*AX71)+P71)/AX71),mult_chart2,2,TRUE))</f>
        <v>0</v>
      </c>
      <c r="AZ71" s="162">
        <v>7</v>
      </c>
      <c r="BA71" s="73">
        <f>IF(bloodline="",AY71,VLOOKUP((((VLOOKUP(AY71,mult_chart,2,TRUE))*AZ71)+Q71)/AZ71,mult_chart2,2,TRUE))</f>
        <v>0</v>
      </c>
      <c r="CC71" s="608" t="str">
        <f>IF(auspex&gt;=4,"Auspex 4","")</f>
        <v/>
      </c>
      <c r="CD71" s="609"/>
      <c r="CE71" s="609" t="str">
        <f t="shared" si="40"/>
        <v/>
      </c>
      <c r="CF71" s="609"/>
      <c r="CG71" s="609"/>
      <c r="CH71" s="452" t="str">
        <f>IF(CC71&lt;&gt;"",VLOOKUP(CC71,Disciplinechart,4,FALSE),"")</f>
        <v/>
      </c>
      <c r="CI71" s="609" t="str">
        <f t="shared" si="45"/>
        <v/>
      </c>
      <c r="CJ71" s="609"/>
      <c r="CK71" s="609"/>
      <c r="CL71" s="610"/>
      <c r="CM71" s="608" t="s">
        <v>2183</v>
      </c>
      <c r="CN71" s="609"/>
      <c r="CO71" s="452">
        <f>resolve+composure</f>
        <v>2</v>
      </c>
      <c r="CP71" s="459"/>
      <c r="CQ71" s="459"/>
      <c r="CR71" s="460"/>
    </row>
    <row r="72" spans="2:96" ht="14.25" customHeight="1" thickBot="1" x14ac:dyDescent="0.25">
      <c r="B72" s="719"/>
      <c r="C72" s="720"/>
      <c r="D72" s="563">
        <f t="shared" si="21"/>
        <v>0</v>
      </c>
      <c r="E72" s="178"/>
      <c r="F72" s="178"/>
      <c r="G72" s="178"/>
      <c r="H72" s="429">
        <f t="shared" si="26"/>
        <v>0</v>
      </c>
      <c r="I72" s="429">
        <f t="shared" si="22"/>
        <v>0</v>
      </c>
      <c r="J72" s="151" t="str">
        <f t="shared" si="27"/>
        <v/>
      </c>
      <c r="L72" s="729" t="str">
        <f>IF(bloodline&lt;&gt;"",VLOOKUP(bloodline,BloodlineChart,6,FALSE),"")</f>
        <v/>
      </c>
      <c r="M72" s="730"/>
      <c r="N72" s="220">
        <f>IF(bloodline&lt;&gt;"",BA72,AY72)</f>
        <v>0</v>
      </c>
      <c r="O72" s="158"/>
      <c r="P72" s="159"/>
      <c r="Q72" s="159"/>
      <c r="R72" s="160" t="str">
        <f>IF(bloodline&lt;&gt;"","Local","")</f>
        <v/>
      </c>
      <c r="S72" s="233">
        <f>IF(N72&lt;5,((N72+1)*(IF(bloodline&lt;&gt;"",AZ72,AX72))),0)</f>
        <v>0</v>
      </c>
      <c r="T72" s="225">
        <f>IF(bloodline&lt;&gt;"",Q72,P72)+S72</f>
        <v>0</v>
      </c>
      <c r="U72" s="234"/>
      <c r="V72" s="183"/>
      <c r="W72" s="183"/>
      <c r="X72" s="183"/>
      <c r="Y72" s="183"/>
      <c r="Z72" s="184">
        <f t="shared" si="34"/>
        <v>0</v>
      </c>
      <c r="AD72" s="96">
        <v>32</v>
      </c>
      <c r="AE72" s="98" t="s">
        <v>976</v>
      </c>
      <c r="AF72" s="99" t="s">
        <v>977</v>
      </c>
      <c r="AG72" s="100" t="s">
        <v>978</v>
      </c>
      <c r="AH72" s="100" t="s">
        <v>979</v>
      </c>
      <c r="AI72" s="101" t="s">
        <v>980</v>
      </c>
      <c r="AJ72" s="146">
        <f t="shared" si="23"/>
        <v>0</v>
      </c>
      <c r="AK72" s="146">
        <f t="shared" si="24"/>
        <v>0</v>
      </c>
      <c r="AL72" s="147">
        <f t="shared" si="25"/>
        <v>0</v>
      </c>
      <c r="AM72" s="1050" t="s">
        <v>1964</v>
      </c>
      <c r="AN72" s="269" t="s">
        <v>673</v>
      </c>
      <c r="AO72" s="143" t="s">
        <v>2240</v>
      </c>
      <c r="AP72" s="143" t="s">
        <v>1151</v>
      </c>
      <c r="AQ72" s="143"/>
      <c r="AR72" s="143"/>
      <c r="AS72" s="143"/>
      <c r="AT72" s="143">
        <v>5</v>
      </c>
      <c r="AU72" s="143" t="str">
        <f>IF(clan1="Nosferatu","Yes","No")</f>
        <v>No</v>
      </c>
      <c r="AV72" s="143" t="s">
        <v>14</v>
      </c>
      <c r="AW72" s="62">
        <f t="shared" ca="1" si="43"/>
        <v>0</v>
      </c>
      <c r="AX72" s="171">
        <f>IF(clan1&lt;&gt;"",IF(OR(L72=VLOOKUP(clan1,ClanTable,2,FALSE),L72=VLOOKUP(clan1,ClanTable,3,FALSE),L72=VLOOKUP(clan1,ClanTable,4,FALSE)),5,7),0)</f>
        <v>0</v>
      </c>
      <c r="AY72" s="172">
        <f>IF(AX72=0,0,VLOOKUP((((VLOOKUP((O72),mult_chart,2,TRUE)*AX72)+P72)/AX72),mult_chart2,2,TRUE))</f>
        <v>0</v>
      </c>
      <c r="AZ72" s="162">
        <f>IF(bloodline&lt;&gt;"",IF(OR(L72=VLOOKUP(bloodline,BloodlineChart,3,TRUE),L72=VLOOKUP(bloodline,BloodlineChart,4,TRUE),L72=VLOOKUP(bloodline,BloodlineChart,5,TRUE),L72=VLOOKUP(bloodline,BloodlineChart,6,TRUE)),5,7),0)</f>
        <v>0</v>
      </c>
      <c r="BA72" s="62">
        <f>IF(bloodline="",AY72,VLOOKUP((((VLOOKUP(AY72,mult_chart,2,TRUE))*AZ72)+Q72)/AZ72,mult_chart2,2,TRUE))</f>
        <v>0</v>
      </c>
      <c r="CC72" s="608" t="str">
        <f>IF(auspex&gt;=5,"Auspex 5","")</f>
        <v/>
      </c>
      <c r="CD72" s="609"/>
      <c r="CE72" s="609" t="str">
        <f t="shared" si="40"/>
        <v/>
      </c>
      <c r="CF72" s="609"/>
      <c r="CG72" s="609"/>
      <c r="CH72" s="452" t="str">
        <f>IF(CC72&lt;&gt;"",VLOOKUP(CC72,Disciplinechart,4,FALSE),"")</f>
        <v/>
      </c>
      <c r="CI72" s="609" t="str">
        <f>IF(CC72&lt;&gt;"",VLOOKUP(CC72,Disciplinechart,6,FALSE),"")</f>
        <v/>
      </c>
      <c r="CJ72" s="609"/>
      <c r="CK72" s="609"/>
      <c r="CL72" s="610"/>
      <c r="CM72" s="608" t="s">
        <v>2184</v>
      </c>
      <c r="CN72" s="609"/>
      <c r="CO72" s="452">
        <f>composure+BP</f>
        <v>2</v>
      </c>
      <c r="CP72" s="609" t="str">
        <f>CONCATENATE("Resolve + BP: ",resolve+BP)</f>
        <v>Resolve + BP: 2</v>
      </c>
      <c r="CQ72" s="609"/>
      <c r="CR72" s="610"/>
    </row>
    <row r="73" spans="2:96" ht="14.25" customHeight="1" x14ac:dyDescent="0.2">
      <c r="B73" s="719"/>
      <c r="C73" s="720"/>
      <c r="D73" s="563">
        <f t="shared" si="21"/>
        <v>0</v>
      </c>
      <c r="E73" s="178"/>
      <c r="F73" s="178"/>
      <c r="G73" s="178"/>
      <c r="H73" s="429">
        <f t="shared" si="26"/>
        <v>0</v>
      </c>
      <c r="I73" s="429">
        <f t="shared" si="22"/>
        <v>0</v>
      </c>
      <c r="J73" s="151" t="str">
        <f t="shared" si="27"/>
        <v/>
      </c>
      <c r="L73" s="731" t="s">
        <v>793</v>
      </c>
      <c r="M73" s="732"/>
      <c r="N73" s="422">
        <f>IF(bloodline&lt;&gt;"",BA73,AY73)</f>
        <v>0</v>
      </c>
      <c r="O73" s="166"/>
      <c r="P73" s="167"/>
      <c r="Q73" s="167"/>
      <c r="R73" s="168" t="str">
        <f>IF(covenant1="Circle of the Crone","Local","N/A")</f>
        <v>N/A</v>
      </c>
      <c r="S73" s="118">
        <f>IF(N73&lt;5,((N73+1)*(IF(bloodline&lt;&gt;"",AZ73,AX73))),0)</f>
        <v>7</v>
      </c>
      <c r="T73" s="170">
        <f t="shared" si="38"/>
        <v>7</v>
      </c>
      <c r="U73" s="235" t="s">
        <v>12</v>
      </c>
      <c r="V73" s="118" t="s">
        <v>12</v>
      </c>
      <c r="W73" s="118" t="s">
        <v>12</v>
      </c>
      <c r="X73" s="118" t="s">
        <v>12</v>
      </c>
      <c r="Y73" s="118" t="s">
        <v>12</v>
      </c>
      <c r="Z73" s="231">
        <f t="shared" si="34"/>
        <v>0</v>
      </c>
      <c r="AD73" s="96">
        <v>33</v>
      </c>
      <c r="AE73" s="98" t="s">
        <v>981</v>
      </c>
      <c r="AF73" s="99" t="s">
        <v>982</v>
      </c>
      <c r="AG73" s="100" t="s">
        <v>983</v>
      </c>
      <c r="AH73" s="100" t="s">
        <v>984</v>
      </c>
      <c r="AI73" s="101" t="s">
        <v>985</v>
      </c>
      <c r="AJ73" s="146">
        <f t="shared" si="23"/>
        <v>0</v>
      </c>
      <c r="AK73" s="146">
        <f t="shared" si="24"/>
        <v>0</v>
      </c>
      <c r="AL73" s="147">
        <f t="shared" si="25"/>
        <v>0</v>
      </c>
      <c r="AM73" s="1050" t="s">
        <v>1965</v>
      </c>
      <c r="AN73" s="269" t="s">
        <v>1756</v>
      </c>
      <c r="AO73" s="143" t="s">
        <v>2241</v>
      </c>
      <c r="AP73" s="143" t="s">
        <v>1151</v>
      </c>
      <c r="AQ73" s="143"/>
      <c r="AR73" s="143"/>
      <c r="AS73" s="143"/>
      <c r="AT73" s="143">
        <v>5</v>
      </c>
      <c r="AU73" s="143" t="str">
        <f>IF(clan1="Nosferatu","Yes","No")</f>
        <v>No</v>
      </c>
      <c r="AV73" s="143" t="s">
        <v>14</v>
      </c>
      <c r="AW73" s="62">
        <f t="shared" ca="1" si="43"/>
        <v>0</v>
      </c>
      <c r="AX73" s="143">
        <v>7</v>
      </c>
      <c r="AY73" s="143">
        <f>IF(AX73=0,0,VLOOKUP((((VLOOKUP((O73),mult_chart,2,TRUE)*AX73)+P73)/AX73),mult_chart2,2,TRUE))</f>
        <v>0</v>
      </c>
      <c r="AZ73" s="143">
        <f>IF(bloodline&lt;&gt;"",IF(OR(L73=VLOOKUP(bloodline,BloodlineChart,3,TRUE),L73=VLOOKUP(bloodline,BloodlineChart,4,TRUE),L73=VLOOKUP(bloodline,BloodlineChart,5,TRUE),L73=VLOOKUP(bloodline,BloodlineChart,6,TRUE)),5,7),0)</f>
        <v>0</v>
      </c>
      <c r="BA73" s="165">
        <f>IF(bloodline="",AY73,VLOOKUP((((VLOOKUP(AY73,mult_chart,2,TRUE))*AZ73)+Q73)/AZ73,mult_chart2,2,TRUE))</f>
        <v>0</v>
      </c>
      <c r="CC73" s="608" t="str">
        <f>IF(celerity&gt;0,"Celerity","")</f>
        <v/>
      </c>
      <c r="CD73" s="609"/>
      <c r="CE73" s="609" t="str">
        <f>IF(celerity&gt;0,CONCATENATE("-", celerity," attacker's total"),"")</f>
        <v/>
      </c>
      <c r="CF73" s="609"/>
      <c r="CG73" s="609"/>
      <c r="CH73" s="452"/>
      <c r="CI73" s="609" t="str">
        <f>IF(celerity&gt;0,CONCATENATE("Initative = ", celerity+initiativeadj),"")</f>
        <v/>
      </c>
      <c r="CJ73" s="609"/>
      <c r="CK73" s="609" t="str">
        <f>IF(celerity&gt;0,CONCATENATE("Speed = ", (celerity+speedadj)*2),"")</f>
        <v/>
      </c>
      <c r="CL73" s="610"/>
      <c r="CM73" s="608" t="s">
        <v>2185</v>
      </c>
      <c r="CN73" s="609"/>
      <c r="CO73" s="609"/>
      <c r="CP73" s="609"/>
      <c r="CQ73" s="609" t="str">
        <f>IF(obfuscate&gt;0,resolve+stealth+obfuscate-IF(stealth&lt;1,1,0),"n/a")</f>
        <v>n/a</v>
      </c>
      <c r="CR73" s="610"/>
    </row>
    <row r="74" spans="2:96" ht="14.25" customHeight="1" x14ac:dyDescent="0.2">
      <c r="B74" s="719"/>
      <c r="C74" s="720"/>
      <c r="D74" s="563">
        <f t="shared" si="21"/>
        <v>0</v>
      </c>
      <c r="E74" s="178"/>
      <c r="F74" s="178"/>
      <c r="G74" s="178"/>
      <c r="H74" s="429">
        <f t="shared" si="26"/>
        <v>0</v>
      </c>
      <c r="I74" s="429">
        <f t="shared" si="22"/>
        <v>0</v>
      </c>
      <c r="J74" s="151" t="str">
        <f t="shared" si="27"/>
        <v/>
      </c>
      <c r="L74" s="735" t="s">
        <v>1345</v>
      </c>
      <c r="M74" s="736"/>
      <c r="N74" s="34">
        <f>IF(bloodline&lt;&gt;"",BA74,AY74)</f>
        <v>0</v>
      </c>
      <c r="O74" s="35"/>
      <c r="P74" s="148"/>
      <c r="Q74" s="148"/>
      <c r="R74" s="169" t="str">
        <f>IF(covenant1="Lancea Sanctum","Local","N/A")</f>
        <v>N/A</v>
      </c>
      <c r="S74" s="429">
        <f>IF(N74&lt;5,((N74+1)*(IF(bloodline&lt;&gt;"",AZ74,AX74))),0)</f>
        <v>7</v>
      </c>
      <c r="T74" s="155">
        <f t="shared" si="38"/>
        <v>7</v>
      </c>
      <c r="U74" s="179" t="s">
        <v>12</v>
      </c>
      <c r="V74" s="429" t="s">
        <v>12</v>
      </c>
      <c r="W74" s="429" t="s">
        <v>12</v>
      </c>
      <c r="X74" s="429" t="s">
        <v>12</v>
      </c>
      <c r="Y74" s="429" t="s">
        <v>12</v>
      </c>
      <c r="Z74" s="121">
        <f t="shared" si="34"/>
        <v>0</v>
      </c>
      <c r="AD74" s="96">
        <v>34</v>
      </c>
      <c r="AE74" s="98" t="s">
        <v>986</v>
      </c>
      <c r="AF74" s="99" t="s">
        <v>987</v>
      </c>
      <c r="AG74" s="100" t="s">
        <v>988</v>
      </c>
      <c r="AH74" s="100" t="s">
        <v>989</v>
      </c>
      <c r="AI74" s="101" t="s">
        <v>990</v>
      </c>
      <c r="AJ74" s="146">
        <f t="shared" si="23"/>
        <v>0</v>
      </c>
      <c r="AK74" s="146">
        <f t="shared" si="24"/>
        <v>0</v>
      </c>
      <c r="AL74" s="147">
        <f t="shared" si="25"/>
        <v>0</v>
      </c>
      <c r="AM74" s="1050" t="s">
        <v>1966</v>
      </c>
      <c r="AN74" s="269" t="s">
        <v>1799</v>
      </c>
      <c r="AO74" s="143" t="s">
        <v>1194</v>
      </c>
      <c r="AP74" s="143">
        <v>3</v>
      </c>
      <c r="AQ74" s="143"/>
      <c r="AR74" s="143"/>
      <c r="AS74" s="143"/>
      <c r="AT74" s="143">
        <v>3</v>
      </c>
      <c r="AU74" s="143" t="str">
        <f>IF(AND(strength&gt;2,brawl&gt;1),"Yes","No")</f>
        <v>No</v>
      </c>
      <c r="AV74" s="143" t="s">
        <v>14</v>
      </c>
      <c r="AW74" s="62">
        <f t="shared" ca="1" si="43"/>
        <v>0</v>
      </c>
      <c r="AX74" s="162">
        <v>7</v>
      </c>
      <c r="AY74" s="162">
        <f>IF(AX74=0,0,VLOOKUP((((VLOOKUP((O74),mult_chart,2,TRUE)*AX74)+P74)/AX74),mult_chart2,2,TRUE))</f>
        <v>0</v>
      </c>
      <c r="AZ74" s="162">
        <f>IF(bloodline&lt;&gt;"",IF(OR(L74=VLOOKUP(bloodline,BloodlineChart,3,TRUE),L74=VLOOKUP(bloodline,BloodlineChart,4,TRUE),L74=VLOOKUP(bloodline,BloodlineChart,5,TRUE),L74=VLOOKUP(bloodline,BloodlineChart,6,TRUE)),5,7),0)</f>
        <v>0</v>
      </c>
      <c r="BA74" s="73">
        <f>IF(bloodline="",AY74,VLOOKUP((((VLOOKUP(AY74,mult_chart,2,TRUE))*AZ74)+Q74)/AZ74,mult_chart2,2,TRUE))</f>
        <v>0</v>
      </c>
      <c r="CC74" s="608" t="str">
        <f>IF(dominate&gt;=1,"Dominate 1","")</f>
        <v/>
      </c>
      <c r="CD74" s="609"/>
      <c r="CE74" s="609" t="str">
        <f t="shared" ref="CE74:CE94" si="47">IF(CC74&lt;&gt;"",VLOOKUP(CC74,Disciplinechart,2,FALSE),"")</f>
        <v/>
      </c>
      <c r="CF74" s="609"/>
      <c r="CG74" s="609"/>
      <c r="CH74" s="452" t="str">
        <f t="shared" ref="CH74:CH81" si="48">IF(CC74&lt;&gt;"",VLOOKUP(CC74,Disciplinechart,4,FALSE),"")</f>
        <v/>
      </c>
      <c r="CI74" s="609" t="str">
        <f t="shared" ref="CI74:CI81" si="49">IF(CC74&lt;&gt;"",VLOOKUP(CC74,Disciplinechart,6,FALSE),"")</f>
        <v/>
      </c>
      <c r="CJ74" s="609"/>
      <c r="CK74" s="609"/>
      <c r="CL74" s="610"/>
      <c r="CM74" s="611" t="s">
        <v>2186</v>
      </c>
      <c r="CN74" s="612"/>
      <c r="CO74" s="612"/>
      <c r="CP74" s="612"/>
      <c r="CQ74" s="612" t="str">
        <f>IF(auspex&gt;0,wits+investigation+auspex-IF(investigation&lt;1,3,0),"n/a")</f>
        <v>n/a</v>
      </c>
      <c r="CR74" s="613"/>
    </row>
    <row r="75" spans="2:96" ht="14.25" customHeight="1" thickBot="1" x14ac:dyDescent="0.3">
      <c r="B75" s="719"/>
      <c r="C75" s="720"/>
      <c r="D75" s="563">
        <f t="shared" si="21"/>
        <v>0</v>
      </c>
      <c r="E75" s="178"/>
      <c r="F75" s="178"/>
      <c r="G75" s="178"/>
      <c r="H75" s="429">
        <f t="shared" si="26"/>
        <v>0</v>
      </c>
      <c r="I75" s="429">
        <f t="shared" si="22"/>
        <v>0</v>
      </c>
      <c r="J75" s="151" t="str">
        <f t="shared" si="27"/>
        <v/>
      </c>
      <c r="L75" s="48"/>
      <c r="M75" s="49"/>
      <c r="N75" s="49"/>
      <c r="O75" s="173">
        <f>3-SUM(O60:O69,O72:O74)-J93</f>
        <v>3</v>
      </c>
      <c r="P75" s="174" t="s">
        <v>766</v>
      </c>
      <c r="Q75" s="175"/>
      <c r="R75" s="175"/>
      <c r="S75" s="49"/>
      <c r="T75" s="135"/>
      <c r="U75" s="751" t="s">
        <v>1136</v>
      </c>
      <c r="V75" s="752"/>
      <c r="W75" s="752"/>
      <c r="X75" s="752"/>
      <c r="Y75" s="232">
        <f>W55</f>
        <v>3</v>
      </c>
      <c r="Z75" s="135"/>
      <c r="AD75" s="96">
        <v>35</v>
      </c>
      <c r="AE75" s="98" t="s">
        <v>991</v>
      </c>
      <c r="AF75" s="99" t="s">
        <v>992</v>
      </c>
      <c r="AG75" s="100" t="s">
        <v>993</v>
      </c>
      <c r="AH75" s="100" t="s">
        <v>994</v>
      </c>
      <c r="AI75" s="101" t="s">
        <v>995</v>
      </c>
      <c r="AJ75" s="146">
        <f t="shared" si="23"/>
        <v>0</v>
      </c>
      <c r="AK75" s="146">
        <f t="shared" si="24"/>
        <v>0</v>
      </c>
      <c r="AL75" s="147">
        <f t="shared" si="25"/>
        <v>0</v>
      </c>
      <c r="AM75" s="1050" t="s">
        <v>1967</v>
      </c>
      <c r="AN75" s="269" t="s">
        <v>1785</v>
      </c>
      <c r="AO75" s="143" t="s">
        <v>1256</v>
      </c>
      <c r="AP75" s="143" t="s">
        <v>1151</v>
      </c>
      <c r="AQ75" s="143"/>
      <c r="AR75" s="143" t="str">
        <f>IF(covenant1="Carthian Movement","Yes","")</f>
        <v/>
      </c>
      <c r="AS75" s="143" t="str">
        <f>IF(covenant1="Invictus","Yes","")</f>
        <v/>
      </c>
      <c r="AT75" s="143">
        <v>5</v>
      </c>
      <c r="AU75" s="143" t="s">
        <v>806</v>
      </c>
      <c r="AV75" s="143" t="s">
        <v>14</v>
      </c>
      <c r="AW75" s="62">
        <f t="shared" ca="1" si="43"/>
        <v>0</v>
      </c>
      <c r="CC75" s="608" t="str">
        <f>IF(dominate&gt;=2,"Dominate 2","")</f>
        <v/>
      </c>
      <c r="CD75" s="609"/>
      <c r="CE75" s="609" t="str">
        <f t="shared" si="47"/>
        <v/>
      </c>
      <c r="CF75" s="609"/>
      <c r="CG75" s="609"/>
      <c r="CH75" s="452" t="str">
        <f t="shared" si="48"/>
        <v/>
      </c>
      <c r="CI75" s="609" t="str">
        <f t="shared" si="49"/>
        <v/>
      </c>
      <c r="CJ75" s="609"/>
      <c r="CK75" s="609"/>
      <c r="CL75" s="610"/>
      <c r="CM75" s="656" t="s">
        <v>2212</v>
      </c>
      <c r="CN75" s="657"/>
      <c r="CO75" s="657"/>
      <c r="CP75" s="657"/>
      <c r="CQ75" s="657"/>
      <c r="CR75" s="658"/>
    </row>
    <row r="76" spans="2:96" ht="14.25" customHeight="1" thickTop="1" thickBot="1" x14ac:dyDescent="0.25">
      <c r="B76" s="719"/>
      <c r="C76" s="720"/>
      <c r="D76" s="563">
        <f t="shared" si="21"/>
        <v>0</v>
      </c>
      <c r="E76" s="178"/>
      <c r="F76" s="178"/>
      <c r="G76" s="178"/>
      <c r="H76" s="429">
        <f t="shared" si="26"/>
        <v>0</v>
      </c>
      <c r="I76" s="429">
        <f t="shared" si="22"/>
        <v>0</v>
      </c>
      <c r="J76" s="151" t="str">
        <f t="shared" si="27"/>
        <v/>
      </c>
      <c r="AD76" s="96">
        <v>36</v>
      </c>
      <c r="AE76" s="98" t="s">
        <v>996</v>
      </c>
      <c r="AF76" s="99" t="s">
        <v>997</v>
      </c>
      <c r="AG76" s="100" t="s">
        <v>998</v>
      </c>
      <c r="AH76" s="100" t="s">
        <v>999</v>
      </c>
      <c r="AI76" s="101" t="s">
        <v>1000</v>
      </c>
      <c r="AJ76" s="146">
        <f t="shared" si="23"/>
        <v>0</v>
      </c>
      <c r="AK76" s="146">
        <f t="shared" si="24"/>
        <v>0</v>
      </c>
      <c r="AL76" s="147">
        <f t="shared" si="25"/>
        <v>0</v>
      </c>
      <c r="AM76" s="1050" t="s">
        <v>1968</v>
      </c>
      <c r="AN76" s="269" t="s">
        <v>1801</v>
      </c>
      <c r="AO76" s="143" t="s">
        <v>1195</v>
      </c>
      <c r="AP76" s="143">
        <v>2</v>
      </c>
      <c r="AQ76" s="143"/>
      <c r="AR76" s="143"/>
      <c r="AS76" s="143"/>
      <c r="AT76" s="143">
        <v>2</v>
      </c>
      <c r="AU76" s="143" t="str">
        <f>IF(resolve&gt;2,"Yes","No")</f>
        <v>No</v>
      </c>
      <c r="AV76" s="143" t="s">
        <v>14</v>
      </c>
      <c r="AW76" s="62">
        <f t="shared" ca="1" si="43"/>
        <v>0</v>
      </c>
      <c r="CC76" s="608" t="str">
        <f>IF(dominate&gt;=3,"Dominate 3","")</f>
        <v/>
      </c>
      <c r="CD76" s="609"/>
      <c r="CE76" s="609" t="str">
        <f t="shared" si="47"/>
        <v/>
      </c>
      <c r="CF76" s="609"/>
      <c r="CG76" s="609"/>
      <c r="CH76" s="452" t="str">
        <f t="shared" si="48"/>
        <v/>
      </c>
      <c r="CI76" s="609" t="str">
        <f t="shared" si="49"/>
        <v/>
      </c>
      <c r="CJ76" s="609"/>
      <c r="CK76" s="609"/>
      <c r="CL76" s="609"/>
      <c r="CM76" s="901" t="s">
        <v>2218</v>
      </c>
      <c r="CN76" s="902"/>
      <c r="CO76" s="902"/>
      <c r="CP76" s="902"/>
      <c r="CQ76" s="672" t="str">
        <f>startingvitae</f>
        <v>0</v>
      </c>
      <c r="CR76" s="903"/>
    </row>
    <row r="77" spans="2:96" ht="14.25" customHeight="1" thickTop="1" x14ac:dyDescent="0.2">
      <c r="B77" s="719"/>
      <c r="C77" s="720"/>
      <c r="D77" s="563">
        <f t="shared" si="21"/>
        <v>0</v>
      </c>
      <c r="E77" s="178"/>
      <c r="F77" s="178"/>
      <c r="G77" s="178"/>
      <c r="H77" s="429">
        <f t="shared" si="26"/>
        <v>0</v>
      </c>
      <c r="I77" s="429">
        <f t="shared" si="22"/>
        <v>0</v>
      </c>
      <c r="J77" s="151" t="str">
        <f t="shared" si="27"/>
        <v/>
      </c>
      <c r="L77" s="753" t="s">
        <v>254</v>
      </c>
      <c r="M77" s="754"/>
      <c r="N77" s="754"/>
      <c r="O77" s="755"/>
      <c r="Q77" s="637" t="s">
        <v>1356</v>
      </c>
      <c r="R77" s="749"/>
      <c r="T77" s="637" t="s">
        <v>257</v>
      </c>
      <c r="U77" s="638"/>
      <c r="V77" s="638"/>
      <c r="W77" s="638"/>
      <c r="X77" s="27"/>
      <c r="Y77" s="27"/>
      <c r="Z77" s="410"/>
      <c r="AA77" s="236"/>
      <c r="AD77" s="96">
        <v>37</v>
      </c>
      <c r="AE77" s="98" t="s">
        <v>1001</v>
      </c>
      <c r="AF77" s="99" t="s">
        <v>1002</v>
      </c>
      <c r="AG77" s="100" t="s">
        <v>1003</v>
      </c>
      <c r="AH77" s="100" t="s">
        <v>1004</v>
      </c>
      <c r="AI77" s="101" t="s">
        <v>1005</v>
      </c>
      <c r="AJ77" s="146">
        <f t="shared" si="23"/>
        <v>0</v>
      </c>
      <c r="AK77" s="146">
        <f t="shared" si="24"/>
        <v>0</v>
      </c>
      <c r="AL77" s="147">
        <f t="shared" si="25"/>
        <v>0</v>
      </c>
      <c r="AM77" s="1050" t="s">
        <v>1969</v>
      </c>
      <c r="AN77" s="269" t="s">
        <v>2324</v>
      </c>
      <c r="AO77" s="143" t="s">
        <v>1196</v>
      </c>
      <c r="AP77" s="143">
        <v>2</v>
      </c>
      <c r="AQ77" s="143"/>
      <c r="AR77" s="143"/>
      <c r="AS77" s="143"/>
      <c r="AT77" s="143">
        <v>2</v>
      </c>
      <c r="AU77" s="143" t="s">
        <v>806</v>
      </c>
      <c r="AV77" s="143" t="s">
        <v>14</v>
      </c>
      <c r="AW77" s="62">
        <f t="shared" ca="1" si="43"/>
        <v>0</v>
      </c>
      <c r="CC77" s="608" t="str">
        <f>IF(dominate&gt;=4,"Dominate 4","")</f>
        <v/>
      </c>
      <c r="CD77" s="609"/>
      <c r="CE77" s="609" t="str">
        <f t="shared" si="47"/>
        <v/>
      </c>
      <c r="CF77" s="609"/>
      <c r="CG77" s="609"/>
      <c r="CH77" s="452" t="str">
        <f t="shared" si="48"/>
        <v/>
      </c>
      <c r="CI77" s="609" t="str">
        <f t="shared" si="49"/>
        <v/>
      </c>
      <c r="CJ77" s="609"/>
      <c r="CK77" s="609"/>
      <c r="CL77" s="609"/>
      <c r="CM77" s="691" t="s">
        <v>2213</v>
      </c>
      <c r="CN77" s="692"/>
      <c r="CO77" s="692"/>
      <c r="CP77" s="692"/>
      <c r="CQ77" s="662">
        <f>farmer</f>
        <v>1</v>
      </c>
      <c r="CR77" s="695"/>
    </row>
    <row r="78" spans="2:96" ht="14.25" customHeight="1" x14ac:dyDescent="0.2">
      <c r="B78" s="719"/>
      <c r="C78" s="720"/>
      <c r="D78" s="563">
        <f t="shared" si="21"/>
        <v>0</v>
      </c>
      <c r="E78" s="178"/>
      <c r="F78" s="178"/>
      <c r="G78" s="178"/>
      <c r="H78" s="429">
        <f t="shared" si="26"/>
        <v>0</v>
      </c>
      <c r="I78" s="429">
        <f t="shared" si="22"/>
        <v>0</v>
      </c>
      <c r="J78" s="151" t="str">
        <f t="shared" si="27"/>
        <v/>
      </c>
      <c r="L78" s="756"/>
      <c r="M78" s="757"/>
      <c r="N78" s="757"/>
      <c r="O78" s="758"/>
      <c r="Q78" s="763"/>
      <c r="R78" s="764"/>
      <c r="T78" s="639"/>
      <c r="U78" s="640"/>
      <c r="V78" s="640"/>
      <c r="W78" s="640"/>
      <c r="X78" s="114"/>
      <c r="Y78" s="114"/>
      <c r="Z78" s="411"/>
      <c r="AA78" s="236"/>
      <c r="AD78" s="96">
        <v>38</v>
      </c>
      <c r="AE78" s="98" t="s">
        <v>1006</v>
      </c>
      <c r="AF78" s="99" t="s">
        <v>1007</v>
      </c>
      <c r="AG78" s="100" t="s">
        <v>1008</v>
      </c>
      <c r="AH78" s="100" t="s">
        <v>1009</v>
      </c>
      <c r="AI78" s="101" t="s">
        <v>1010</v>
      </c>
      <c r="AJ78" s="146">
        <f t="shared" si="23"/>
        <v>0</v>
      </c>
      <c r="AK78" s="146">
        <f t="shared" si="24"/>
        <v>0</v>
      </c>
      <c r="AL78" s="147">
        <f t="shared" si="25"/>
        <v>0</v>
      </c>
      <c r="AM78" s="1050" t="s">
        <v>1970</v>
      </c>
      <c r="AN78" s="269" t="s">
        <v>1787</v>
      </c>
      <c r="AO78" s="143" t="s">
        <v>1197</v>
      </c>
      <c r="AP78" s="143">
        <v>3</v>
      </c>
      <c r="AQ78" s="143"/>
      <c r="AR78" s="143"/>
      <c r="AS78" s="143"/>
      <c r="AT78" s="143">
        <v>3</v>
      </c>
      <c r="AU78" s="143" t="s">
        <v>806</v>
      </c>
      <c r="AV78" s="143" t="s">
        <v>14</v>
      </c>
      <c r="AW78" s="62">
        <f t="shared" ca="1" si="43"/>
        <v>0</v>
      </c>
      <c r="CC78" s="608" t="str">
        <f>IF(dominate&gt;=5,"Dominate 5","")</f>
        <v/>
      </c>
      <c r="CD78" s="609"/>
      <c r="CE78" s="609" t="str">
        <f t="shared" si="47"/>
        <v/>
      </c>
      <c r="CF78" s="609"/>
      <c r="CG78" s="609"/>
      <c r="CH78" s="452" t="str">
        <f t="shared" si="48"/>
        <v/>
      </c>
      <c r="CI78" s="609" t="str">
        <f t="shared" si="49"/>
        <v/>
      </c>
      <c r="CJ78" s="609"/>
      <c r="CK78" s="609"/>
      <c r="CL78" s="609"/>
      <c r="CM78" s="691" t="s">
        <v>2214</v>
      </c>
      <c r="CN78" s="692"/>
      <c r="CO78" s="692"/>
      <c r="CP78" s="692"/>
      <c r="CQ78" s="662">
        <f>intruder</f>
        <v>1</v>
      </c>
      <c r="CR78" s="695"/>
    </row>
    <row r="79" spans="2:96" ht="14.25" customHeight="1" x14ac:dyDescent="0.25">
      <c r="B79" s="719"/>
      <c r="C79" s="720"/>
      <c r="D79" s="563">
        <f t="shared" si="21"/>
        <v>0</v>
      </c>
      <c r="E79" s="178"/>
      <c r="F79" s="178"/>
      <c r="G79" s="178"/>
      <c r="H79" s="429">
        <f t="shared" si="26"/>
        <v>0</v>
      </c>
      <c r="I79" s="429">
        <f t="shared" si="22"/>
        <v>0</v>
      </c>
      <c r="J79" s="151" t="str">
        <f t="shared" si="27"/>
        <v/>
      </c>
      <c r="L79" s="185" t="s">
        <v>2</v>
      </c>
      <c r="M79" s="186" t="s">
        <v>8</v>
      </c>
      <c r="N79" s="187" t="s">
        <v>1346</v>
      </c>
      <c r="O79" s="188"/>
      <c r="Q79" s="179" t="s">
        <v>1357</v>
      </c>
      <c r="R79" s="255"/>
      <c r="T79" s="408" t="s">
        <v>2</v>
      </c>
      <c r="U79" s="708" t="s">
        <v>2160</v>
      </c>
      <c r="V79" s="708"/>
      <c r="W79" s="708"/>
      <c r="X79" s="409" t="s">
        <v>2</v>
      </c>
      <c r="Y79" s="708" t="s">
        <v>2160</v>
      </c>
      <c r="Z79" s="709"/>
      <c r="AA79" s="523"/>
      <c r="AD79" s="96">
        <v>39</v>
      </c>
      <c r="AE79" s="98" t="s">
        <v>1011</v>
      </c>
      <c r="AF79" s="99" t="s">
        <v>1012</v>
      </c>
      <c r="AG79" s="100" t="s">
        <v>1013</v>
      </c>
      <c r="AH79" s="100" t="s">
        <v>1014</v>
      </c>
      <c r="AI79" s="101" t="s">
        <v>1015</v>
      </c>
      <c r="AJ79" s="146">
        <f t="shared" si="23"/>
        <v>0</v>
      </c>
      <c r="AK79" s="146">
        <f t="shared" si="24"/>
        <v>0</v>
      </c>
      <c r="AL79" s="147">
        <f t="shared" si="25"/>
        <v>0</v>
      </c>
      <c r="AM79" s="1050" t="s">
        <v>1971</v>
      </c>
      <c r="AN79" s="269" t="s">
        <v>1742</v>
      </c>
      <c r="AO79" s="143" t="s">
        <v>1198</v>
      </c>
      <c r="AP79" s="143">
        <v>2</v>
      </c>
      <c r="AQ79" s="143"/>
      <c r="AR79" s="143"/>
      <c r="AS79" s="143"/>
      <c r="AT79" s="143">
        <v>2</v>
      </c>
      <c r="AU79" s="143" t="str">
        <f>IF(wits&gt;1,"Yes","No")</f>
        <v>No</v>
      </c>
      <c r="AV79" s="143" t="s">
        <v>14</v>
      </c>
      <c r="AW79" s="62">
        <f t="shared" ca="1" si="43"/>
        <v>0</v>
      </c>
      <c r="CC79" s="608" t="str">
        <f>IF(majesty&gt;=1,"Majesty 1","")</f>
        <v/>
      </c>
      <c r="CD79" s="609"/>
      <c r="CE79" s="609" t="str">
        <f t="shared" si="47"/>
        <v/>
      </c>
      <c r="CF79" s="609"/>
      <c r="CG79" s="609"/>
      <c r="CH79" s="452" t="str">
        <f t="shared" si="48"/>
        <v/>
      </c>
      <c r="CI79" s="609" t="str">
        <f t="shared" si="49"/>
        <v/>
      </c>
      <c r="CJ79" s="609"/>
      <c r="CK79" s="609"/>
      <c r="CL79" s="609"/>
      <c r="CM79" s="691" t="s">
        <v>2215</v>
      </c>
      <c r="CN79" s="692"/>
      <c r="CO79" s="692"/>
      <c r="CP79" s="692"/>
      <c r="CQ79" s="662">
        <f>lurker</f>
        <v>1</v>
      </c>
      <c r="CR79" s="695"/>
    </row>
    <row r="80" spans="2:96" ht="14.25" customHeight="1" x14ac:dyDescent="0.2">
      <c r="B80" s="719"/>
      <c r="C80" s="720"/>
      <c r="D80" s="563">
        <f t="shared" si="21"/>
        <v>0</v>
      </c>
      <c r="E80" s="178"/>
      <c r="F80" s="178"/>
      <c r="G80" s="178"/>
      <c r="H80" s="429">
        <f t="shared" si="26"/>
        <v>0</v>
      </c>
      <c r="I80" s="429">
        <f t="shared" si="22"/>
        <v>0</v>
      </c>
      <c r="J80" s="151" t="str">
        <f t="shared" si="27"/>
        <v/>
      </c>
      <c r="L80" s="189">
        <v>3</v>
      </c>
      <c r="M80" s="190"/>
      <c r="N80" s="759" t="s">
        <v>1347</v>
      </c>
      <c r="O80" s="760"/>
      <c r="Q80" s="179" t="s">
        <v>1358</v>
      </c>
      <c r="R80" s="255"/>
      <c r="T80" s="179" t="s">
        <v>2161</v>
      </c>
      <c r="U80" s="710"/>
      <c r="V80" s="710"/>
      <c r="W80" s="710"/>
      <c r="X80" s="429">
        <f>IF(Y80="",0,3)</f>
        <v>0</v>
      </c>
      <c r="Y80" s="710"/>
      <c r="Z80" s="711"/>
      <c r="AA80" s="523"/>
      <c r="AD80" s="96">
        <v>40</v>
      </c>
      <c r="AE80" s="98" t="s">
        <v>1016</v>
      </c>
      <c r="AF80" s="99" t="s">
        <v>1017</v>
      </c>
      <c r="AG80" s="100" t="s">
        <v>1018</v>
      </c>
      <c r="AH80" s="100" t="s">
        <v>1019</v>
      </c>
      <c r="AI80" s="101" t="s">
        <v>1020</v>
      </c>
      <c r="AJ80" s="146">
        <f t="shared" si="23"/>
        <v>0</v>
      </c>
      <c r="AK80" s="146">
        <f t="shared" si="24"/>
        <v>0</v>
      </c>
      <c r="AL80" s="147">
        <f t="shared" si="25"/>
        <v>0</v>
      </c>
      <c r="AM80" s="1050" t="s">
        <v>1972</v>
      </c>
      <c r="AN80" s="269" t="s">
        <v>1816</v>
      </c>
      <c r="AO80" s="143" t="s">
        <v>1199</v>
      </c>
      <c r="AP80" s="143">
        <v>4</v>
      </c>
      <c r="AQ80" s="143"/>
      <c r="AR80" s="143"/>
      <c r="AS80" s="143"/>
      <c r="AT80" s="143">
        <v>4</v>
      </c>
      <c r="AU80" s="143" t="str">
        <f>IF(wits&gt;1,"Yes","No")</f>
        <v>No</v>
      </c>
      <c r="AV80" s="143" t="s">
        <v>14</v>
      </c>
      <c r="AW80" s="62">
        <f t="shared" ca="1" si="43"/>
        <v>0</v>
      </c>
      <c r="CC80" s="608" t="str">
        <f>IF(majesty&gt;=2,"Majesty 2","")</f>
        <v/>
      </c>
      <c r="CD80" s="609"/>
      <c r="CE80" s="609" t="str">
        <f t="shared" si="47"/>
        <v/>
      </c>
      <c r="CF80" s="609"/>
      <c r="CG80" s="609"/>
      <c r="CH80" s="452" t="str">
        <f t="shared" si="48"/>
        <v/>
      </c>
      <c r="CI80" s="609" t="str">
        <f t="shared" si="49"/>
        <v/>
      </c>
      <c r="CJ80" s="609"/>
      <c r="CK80" s="609"/>
      <c r="CL80" s="609"/>
      <c r="CM80" s="691" t="s">
        <v>2216</v>
      </c>
      <c r="CN80" s="692"/>
      <c r="CO80" s="692"/>
      <c r="CP80" s="692"/>
      <c r="CQ80" s="662">
        <f>seducer</f>
        <v>1</v>
      </c>
      <c r="CR80" s="695"/>
    </row>
    <row r="81" spans="2:96" ht="14.25" customHeight="1" x14ac:dyDescent="0.2">
      <c r="B81" s="719"/>
      <c r="C81" s="720"/>
      <c r="D81" s="563">
        <f t="shared" si="21"/>
        <v>0</v>
      </c>
      <c r="E81" s="178"/>
      <c r="F81" s="178"/>
      <c r="G81" s="178"/>
      <c r="H81" s="429">
        <f t="shared" si="26"/>
        <v>0</v>
      </c>
      <c r="I81" s="429">
        <f t="shared" si="22"/>
        <v>0</v>
      </c>
      <c r="J81" s="151" t="str">
        <f t="shared" si="27"/>
        <v/>
      </c>
      <c r="L81" s="189">
        <v>3</v>
      </c>
      <c r="M81" s="190"/>
      <c r="N81" s="759" t="s">
        <v>1348</v>
      </c>
      <c r="O81" s="760"/>
      <c r="Q81" s="179" t="s">
        <v>1359</v>
      </c>
      <c r="R81" s="255"/>
      <c r="T81" s="179">
        <f>IF(U81="",0,3)</f>
        <v>0</v>
      </c>
      <c r="U81" s="710"/>
      <c r="V81" s="710"/>
      <c r="W81" s="710"/>
      <c r="X81" s="429">
        <f>IF(Y81="",0,3)</f>
        <v>0</v>
      </c>
      <c r="Y81" s="710"/>
      <c r="Z81" s="711"/>
      <c r="AA81" s="523"/>
      <c r="AC81" s="533" t="str">
        <f>IF(M80=3,N80,"")</f>
        <v/>
      </c>
      <c r="AD81" s="96">
        <v>41</v>
      </c>
      <c r="AE81" s="98" t="s">
        <v>1021</v>
      </c>
      <c r="AF81" s="99" t="s">
        <v>1022</v>
      </c>
      <c r="AG81" s="100" t="s">
        <v>1023</v>
      </c>
      <c r="AH81" s="100" t="s">
        <v>1024</v>
      </c>
      <c r="AI81" s="101" t="s">
        <v>1025</v>
      </c>
      <c r="AJ81" s="146">
        <f t="shared" si="23"/>
        <v>0</v>
      </c>
      <c r="AK81" s="146">
        <f t="shared" si="24"/>
        <v>0</v>
      </c>
      <c r="AL81" s="147">
        <f t="shared" si="25"/>
        <v>0</v>
      </c>
      <c r="AM81" s="1050" t="s">
        <v>1973</v>
      </c>
      <c r="AN81" s="269" t="s">
        <v>1770</v>
      </c>
      <c r="AO81" s="143" t="s">
        <v>1200</v>
      </c>
      <c r="AP81" s="143">
        <v>2</v>
      </c>
      <c r="AQ81" s="143"/>
      <c r="AR81" s="143"/>
      <c r="AS81" s="143"/>
      <c r="AT81" s="143">
        <v>2</v>
      </c>
      <c r="AU81" s="143" t="str">
        <f>IF(manipulation&gt;2,"Yes","No")</f>
        <v>No</v>
      </c>
      <c r="AV81" s="143" t="s">
        <v>14</v>
      </c>
      <c r="AW81" s="62">
        <f t="shared" ca="1" si="43"/>
        <v>0</v>
      </c>
      <c r="CC81" s="608" t="str">
        <f>IF(majesty&gt;=3,"Majesty 3","")</f>
        <v/>
      </c>
      <c r="CD81" s="609"/>
      <c r="CE81" s="609" t="str">
        <f t="shared" si="47"/>
        <v/>
      </c>
      <c r="CF81" s="609"/>
      <c r="CG81" s="609"/>
      <c r="CH81" s="452" t="str">
        <f t="shared" si="48"/>
        <v/>
      </c>
      <c r="CI81" s="609" t="str">
        <f t="shared" si="49"/>
        <v/>
      </c>
      <c r="CJ81" s="609"/>
      <c r="CK81" s="609"/>
      <c r="CL81" s="609"/>
      <c r="CM81" s="693" t="s">
        <v>2217</v>
      </c>
      <c r="CN81" s="694"/>
      <c r="CO81" s="694"/>
      <c r="CP81" s="694"/>
      <c r="CQ81" s="663">
        <f>stalker</f>
        <v>1</v>
      </c>
      <c r="CR81" s="696"/>
    </row>
    <row r="82" spans="2:96" ht="14.25" customHeight="1" x14ac:dyDescent="0.2">
      <c r="B82" s="719"/>
      <c r="C82" s="720"/>
      <c r="D82" s="563">
        <f t="shared" si="21"/>
        <v>0</v>
      </c>
      <c r="E82" s="178"/>
      <c r="F82" s="178"/>
      <c r="G82" s="178"/>
      <c r="H82" s="429">
        <f t="shared" si="26"/>
        <v>0</v>
      </c>
      <c r="I82" s="429">
        <f t="shared" si="22"/>
        <v>0</v>
      </c>
      <c r="J82" s="151" t="str">
        <f t="shared" si="27"/>
        <v/>
      </c>
      <c r="L82" s="189">
        <v>3</v>
      </c>
      <c r="M82" s="190"/>
      <c r="N82" s="759" t="s">
        <v>1349</v>
      </c>
      <c r="O82" s="760"/>
      <c r="Q82" s="179" t="s">
        <v>1360</v>
      </c>
      <c r="R82" s="255"/>
      <c r="T82" s="179">
        <f t="shared" ref="T82:T83" si="50">IF(U82="",0,3)</f>
        <v>0</v>
      </c>
      <c r="U82" s="710"/>
      <c r="V82" s="710"/>
      <c r="W82" s="710"/>
      <c r="X82" s="429">
        <f>IF(Y82="",0,3)</f>
        <v>0</v>
      </c>
      <c r="Y82" s="710"/>
      <c r="Z82" s="711"/>
      <c r="AA82" s="523"/>
      <c r="AC82" s="533" t="str">
        <f>IF(M81=3,N81,"")</f>
        <v/>
      </c>
      <c r="AD82" s="96">
        <v>42</v>
      </c>
      <c r="AE82" s="98" t="s">
        <v>1026</v>
      </c>
      <c r="AF82" s="99" t="s">
        <v>1027</v>
      </c>
      <c r="AG82" s="100" t="s">
        <v>1028</v>
      </c>
      <c r="AH82" s="100" t="s">
        <v>1029</v>
      </c>
      <c r="AI82" s="101" t="s">
        <v>1030</v>
      </c>
      <c r="AJ82" s="146">
        <f t="shared" si="23"/>
        <v>0</v>
      </c>
      <c r="AK82" s="146">
        <f t="shared" si="24"/>
        <v>0</v>
      </c>
      <c r="AL82" s="147">
        <f t="shared" si="25"/>
        <v>0</v>
      </c>
      <c r="AM82" s="1050" t="s">
        <v>1974</v>
      </c>
      <c r="AN82" s="269" t="s">
        <v>1772</v>
      </c>
      <c r="AO82" s="143" t="s">
        <v>1267</v>
      </c>
      <c r="AP82" s="143">
        <v>2</v>
      </c>
      <c r="AQ82" s="143"/>
      <c r="AR82" s="143"/>
      <c r="AS82" s="143"/>
      <c r="AT82" s="143">
        <v>2</v>
      </c>
      <c r="AU82" s="143" t="str">
        <f>IF(AND(clan1="Ventrue",OR(animalism&gt;0,dominate&gt;0)),"Yes","No")</f>
        <v>No</v>
      </c>
      <c r="AV82" s="143" t="s">
        <v>14</v>
      </c>
      <c r="AW82" s="62">
        <f t="shared" ca="1" si="43"/>
        <v>0</v>
      </c>
      <c r="CC82" s="608" t="str">
        <f>IF(majesty&gt;=4,"Majesty 4","")</f>
        <v/>
      </c>
      <c r="CD82" s="609"/>
      <c r="CE82" s="609" t="str">
        <f t="shared" si="47"/>
        <v/>
      </c>
      <c r="CF82" s="609"/>
      <c r="CG82" s="609"/>
      <c r="CH82" s="452" t="str">
        <f>IF(AB89="Yes",AC90,IF(CC82&lt;&gt;"",VLOOKUP(CC82,Disciplinechart,4,FALSE),""))</f>
        <v/>
      </c>
      <c r="CI82" s="609" t="str">
        <f t="shared" ref="CI82" si="51">IF(CC82&lt;&gt;"",VLOOKUP(CC82,Disciplinechart,6,FALSE),"")</f>
        <v/>
      </c>
      <c r="CJ82" s="609"/>
      <c r="CK82" s="609"/>
      <c r="CL82" s="610"/>
      <c r="CM82" s="656" t="s">
        <v>2187</v>
      </c>
      <c r="CN82" s="657"/>
      <c r="CO82" s="657"/>
      <c r="CP82" s="657"/>
      <c r="CQ82" s="657"/>
      <c r="CR82" s="658"/>
    </row>
    <row r="83" spans="2:96" ht="14.25" customHeight="1" thickBot="1" x14ac:dyDescent="0.25">
      <c r="B83" s="719"/>
      <c r="C83" s="720"/>
      <c r="D83" s="563">
        <f t="shared" si="21"/>
        <v>0</v>
      </c>
      <c r="E83" s="178"/>
      <c r="F83" s="178"/>
      <c r="G83" s="178"/>
      <c r="H83" s="429">
        <f t="shared" si="26"/>
        <v>0</v>
      </c>
      <c r="I83" s="429">
        <f t="shared" si="22"/>
        <v>0</v>
      </c>
      <c r="J83" s="151" t="str">
        <f t="shared" si="27"/>
        <v/>
      </c>
      <c r="L83" s="191">
        <v>3</v>
      </c>
      <c r="M83" s="192"/>
      <c r="N83" s="840" t="s">
        <v>1350</v>
      </c>
      <c r="O83" s="841"/>
      <c r="Q83" s="211" t="s">
        <v>1361</v>
      </c>
      <c r="R83" s="256"/>
      <c r="T83" s="211">
        <f t="shared" si="50"/>
        <v>0</v>
      </c>
      <c r="U83" s="706"/>
      <c r="V83" s="706"/>
      <c r="W83" s="706"/>
      <c r="X83" s="427">
        <f>IF(Y83="",0,3)</f>
        <v>0</v>
      </c>
      <c r="Y83" s="706"/>
      <c r="Z83" s="707"/>
      <c r="AA83" s="523"/>
      <c r="AC83" s="533" t="str">
        <f>IF(M82=3,N82,"")</f>
        <v/>
      </c>
      <c r="AD83" s="96">
        <v>43</v>
      </c>
      <c r="AE83" s="98" t="s">
        <v>1031</v>
      </c>
      <c r="AF83" s="99" t="s">
        <v>1032</v>
      </c>
      <c r="AG83" s="100" t="s">
        <v>1033</v>
      </c>
      <c r="AH83" s="100" t="s">
        <v>1034</v>
      </c>
      <c r="AI83" s="101" t="s">
        <v>1035</v>
      </c>
      <c r="AJ83" s="146">
        <f t="shared" si="23"/>
        <v>0</v>
      </c>
      <c r="AK83" s="146">
        <f t="shared" si="24"/>
        <v>0</v>
      </c>
      <c r="AL83" s="147">
        <f t="shared" si="25"/>
        <v>0</v>
      </c>
      <c r="AM83" s="1050" t="s">
        <v>1975</v>
      </c>
      <c r="AN83" s="269" t="s">
        <v>1758</v>
      </c>
      <c r="AO83" s="143" t="s">
        <v>1268</v>
      </c>
      <c r="AP83" s="143">
        <v>4</v>
      </c>
      <c r="AQ83" s="143"/>
      <c r="AR83" s="143"/>
      <c r="AS83" s="143"/>
      <c r="AT83" s="143">
        <v>4</v>
      </c>
      <c r="AU83" s="143" t="str">
        <f>IF(AND(clan1="Ventrue",OR(animalism&gt;0,dominate&gt;0)),"Yes","No")</f>
        <v>No</v>
      </c>
      <c r="AV83" s="143" t="s">
        <v>14</v>
      </c>
      <c r="AW83" s="62">
        <f t="shared" ca="1" si="43"/>
        <v>0</v>
      </c>
      <c r="CC83" s="608" t="str">
        <f>IF(majesty&gt;=5,"Majesty 5","")</f>
        <v/>
      </c>
      <c r="CD83" s="609"/>
      <c r="CE83" s="609" t="str">
        <f t="shared" si="47"/>
        <v/>
      </c>
      <c r="CF83" s="609"/>
      <c r="CG83" s="609"/>
      <c r="CH83" s="452" t="str">
        <f t="shared" ref="CH83:CH93" si="52">IF(CC83&lt;&gt;"",VLOOKUP(CC83,Disciplinechart,4,FALSE),"")</f>
        <v/>
      </c>
      <c r="CI83" s="609" t="str">
        <f t="shared" ref="CI83:CI94" si="53">IF(CC83&lt;&gt;"",VLOOKUP(CC83,Disciplinechart,6,FALSE),"")</f>
        <v/>
      </c>
      <c r="CJ83" s="609"/>
      <c r="CK83" s="609"/>
      <c r="CL83" s="609"/>
      <c r="CM83" s="659" t="str">
        <f>IF(J98=1,CONCATENATE("Banes 1:"," ",B98),"")</f>
        <v/>
      </c>
      <c r="CN83" s="660"/>
      <c r="CO83" s="660"/>
      <c r="CP83" s="660"/>
      <c r="CQ83" s="660"/>
      <c r="CR83" s="661"/>
    </row>
    <row r="84" spans="2:96" ht="14.25" customHeight="1" thickTop="1" thickBot="1" x14ac:dyDescent="0.25">
      <c r="B84" s="719"/>
      <c r="C84" s="720"/>
      <c r="D84" s="563">
        <f t="shared" si="21"/>
        <v>0</v>
      </c>
      <c r="E84" s="178"/>
      <c r="F84" s="178"/>
      <c r="G84" s="178"/>
      <c r="H84" s="429">
        <f t="shared" si="26"/>
        <v>0</v>
      </c>
      <c r="I84" s="429">
        <f t="shared" si="22"/>
        <v>0</v>
      </c>
      <c r="J84" s="151" t="str">
        <f t="shared" si="27"/>
        <v/>
      </c>
      <c r="AC84" s="533" t="str">
        <f>IF(M83=3,N83,"")</f>
        <v/>
      </c>
      <c r="AD84" s="96">
        <v>44</v>
      </c>
      <c r="AE84" s="98" t="s">
        <v>1036</v>
      </c>
      <c r="AF84" s="99" t="s">
        <v>1037</v>
      </c>
      <c r="AG84" s="100" t="s">
        <v>1038</v>
      </c>
      <c r="AH84" s="100" t="s">
        <v>1039</v>
      </c>
      <c r="AI84" s="101" t="s">
        <v>1040</v>
      </c>
      <c r="AJ84" s="146">
        <f t="shared" si="23"/>
        <v>0</v>
      </c>
      <c r="AK84" s="146">
        <f t="shared" si="24"/>
        <v>0</v>
      </c>
      <c r="AL84" s="147">
        <f t="shared" si="25"/>
        <v>0</v>
      </c>
      <c r="AM84" s="1050" t="s">
        <v>1976</v>
      </c>
      <c r="AN84" s="269" t="s">
        <v>1774</v>
      </c>
      <c r="AO84" s="143" t="s">
        <v>1260</v>
      </c>
      <c r="AP84" s="143">
        <v>3</v>
      </c>
      <c r="AQ84" s="143"/>
      <c r="AR84" s="143"/>
      <c r="AS84" s="143"/>
      <c r="AT84" s="143">
        <v>3</v>
      </c>
      <c r="AU84" s="143" t="str">
        <f>IF(clan1="Gangrel","Yes","No")</f>
        <v>No</v>
      </c>
      <c r="AV84" s="143" t="s">
        <v>14</v>
      </c>
      <c r="AW84" s="62">
        <f t="shared" ca="1" si="43"/>
        <v>0</v>
      </c>
      <c r="CC84" s="608" t="str">
        <f>IF(nightmare&gt;=1,"Nightmare 1","")</f>
        <v/>
      </c>
      <c r="CD84" s="609"/>
      <c r="CE84" s="609" t="str">
        <f t="shared" si="47"/>
        <v/>
      </c>
      <c r="CF84" s="609"/>
      <c r="CG84" s="609"/>
      <c r="CH84" s="452" t="str">
        <f t="shared" si="52"/>
        <v/>
      </c>
      <c r="CI84" s="609" t="str">
        <f t="shared" si="53"/>
        <v/>
      </c>
      <c r="CJ84" s="609"/>
      <c r="CK84" s="609"/>
      <c r="CL84" s="609"/>
      <c r="CM84" s="608" t="str">
        <f>IF(J99=1,CONCATENATE("Banes 2:"," ",B99),"")</f>
        <v/>
      </c>
      <c r="CN84" s="609"/>
      <c r="CO84" s="609"/>
      <c r="CP84" s="609"/>
      <c r="CQ84" s="609"/>
      <c r="CR84" s="610"/>
    </row>
    <row r="85" spans="2:96" ht="14.25" customHeight="1" thickTop="1" x14ac:dyDescent="0.2">
      <c r="B85" s="719"/>
      <c r="C85" s="720"/>
      <c r="D85" s="563">
        <f t="shared" si="21"/>
        <v>0</v>
      </c>
      <c r="E85" s="178"/>
      <c r="F85" s="178"/>
      <c r="G85" s="178"/>
      <c r="H85" s="429">
        <f t="shared" si="26"/>
        <v>0</v>
      </c>
      <c r="I85" s="429">
        <f t="shared" si="22"/>
        <v>0</v>
      </c>
      <c r="J85" s="151" t="str">
        <f t="shared" si="27"/>
        <v/>
      </c>
      <c r="L85" s="833" t="s">
        <v>1351</v>
      </c>
      <c r="M85" s="834"/>
      <c r="N85" s="835"/>
      <c r="O85" s="835"/>
      <c r="P85" s="835"/>
      <c r="Q85" s="193"/>
      <c r="R85" s="194"/>
      <c r="S85" s="194"/>
      <c r="T85" s="194"/>
      <c r="U85" s="194"/>
      <c r="V85" s="193"/>
      <c r="W85" s="193"/>
      <c r="X85" s="193"/>
      <c r="Y85" s="193"/>
      <c r="Z85" s="195"/>
      <c r="AA85" s="196"/>
      <c r="AC85" s="533" t="str">
        <f>CONCATENATE(AC81,",",AC82,",",AC83,",",AC84)</f>
        <v>,,,</v>
      </c>
      <c r="AD85" s="96">
        <v>45</v>
      </c>
      <c r="AE85" s="98" t="s">
        <v>1041</v>
      </c>
      <c r="AF85" s="99" t="s">
        <v>1042</v>
      </c>
      <c r="AG85" s="100" t="s">
        <v>1043</v>
      </c>
      <c r="AH85" s="100" t="s">
        <v>1044</v>
      </c>
      <c r="AI85" s="101" t="s">
        <v>1045</v>
      </c>
      <c r="AJ85" s="146">
        <f t="shared" si="23"/>
        <v>0</v>
      </c>
      <c r="AK85" s="146">
        <f t="shared" si="24"/>
        <v>0</v>
      </c>
      <c r="AL85" s="147">
        <f t="shared" si="25"/>
        <v>0</v>
      </c>
      <c r="AM85" s="1050" t="s">
        <v>1977</v>
      </c>
      <c r="AN85" s="269" t="s">
        <v>1789</v>
      </c>
      <c r="AO85" s="143" t="s">
        <v>1201</v>
      </c>
      <c r="AP85" s="143">
        <v>4</v>
      </c>
      <c r="AQ85" s="143"/>
      <c r="AR85" s="143"/>
      <c r="AS85" s="143"/>
      <c r="AT85" s="143">
        <v>4</v>
      </c>
      <c r="AU85" s="143" t="str">
        <f>IF(presence&gt;3,"Yes","No")</f>
        <v>No</v>
      </c>
      <c r="AV85" s="143" t="s">
        <v>14</v>
      </c>
      <c r="AW85" s="62">
        <f t="shared" ca="1" si="43"/>
        <v>0</v>
      </c>
      <c r="CC85" s="608" t="str">
        <f>IF(nightmare&gt;=2,"Nightmare 2","")</f>
        <v/>
      </c>
      <c r="CD85" s="609"/>
      <c r="CE85" s="609" t="str">
        <f t="shared" si="47"/>
        <v/>
      </c>
      <c r="CF85" s="609"/>
      <c r="CG85" s="609"/>
      <c r="CH85" s="452" t="str">
        <f t="shared" si="52"/>
        <v/>
      </c>
      <c r="CI85" s="609" t="str">
        <f t="shared" si="53"/>
        <v/>
      </c>
      <c r="CJ85" s="609"/>
      <c r="CK85" s="609"/>
      <c r="CL85" s="609"/>
      <c r="CM85" s="608" t="str">
        <f>IF(J100=1,CONCATENATE("Banes 3:"," ",B100),"")</f>
        <v/>
      </c>
      <c r="CN85" s="609"/>
      <c r="CO85" s="609"/>
      <c r="CP85" s="609"/>
      <c r="CQ85" s="609"/>
      <c r="CR85" s="610"/>
    </row>
    <row r="86" spans="2:96" ht="14.25" customHeight="1" x14ac:dyDescent="0.2">
      <c r="B86" s="719"/>
      <c r="C86" s="720"/>
      <c r="D86" s="563">
        <f t="shared" si="21"/>
        <v>0</v>
      </c>
      <c r="E86" s="178"/>
      <c r="F86" s="178"/>
      <c r="G86" s="178"/>
      <c r="H86" s="429">
        <f t="shared" si="26"/>
        <v>0</v>
      </c>
      <c r="I86" s="429">
        <f t="shared" si="22"/>
        <v>0</v>
      </c>
      <c r="J86" s="151" t="str">
        <f t="shared" si="27"/>
        <v/>
      </c>
      <c r="L86" s="836"/>
      <c r="M86" s="837"/>
      <c r="N86" s="837"/>
      <c r="O86" s="837"/>
      <c r="P86" s="837"/>
      <c r="Q86" s="423"/>
      <c r="R86" s="197"/>
      <c r="S86" s="197"/>
      <c r="T86" s="197"/>
      <c r="U86" s="197"/>
      <c r="V86" s="423"/>
      <c r="W86" s="423"/>
      <c r="X86" s="423"/>
      <c r="Y86" s="423"/>
      <c r="Z86" s="686" t="s">
        <v>6</v>
      </c>
      <c r="AA86" s="687"/>
      <c r="AC86" s="533" t="str">
        <f>CONCATENATE(U80,",",U81,",",U82,",",U83,",",Y80,",",Y81,",",Y82,",",Y83)</f>
        <v>,,,,,,,</v>
      </c>
      <c r="AD86" s="96">
        <v>46</v>
      </c>
      <c r="AE86" s="98" t="s">
        <v>1046</v>
      </c>
      <c r="AF86" s="99" t="s">
        <v>1047</v>
      </c>
      <c r="AG86" s="100" t="s">
        <v>1048</v>
      </c>
      <c r="AH86" s="100" t="s">
        <v>1049</v>
      </c>
      <c r="AI86" s="101" t="s">
        <v>1050</v>
      </c>
      <c r="AJ86" s="146">
        <f t="shared" si="23"/>
        <v>0</v>
      </c>
      <c r="AK86" s="146">
        <f t="shared" si="24"/>
        <v>0</v>
      </c>
      <c r="AL86" s="147">
        <f t="shared" si="25"/>
        <v>0</v>
      </c>
      <c r="AM86" s="1050" t="s">
        <v>1978</v>
      </c>
      <c r="AN86" s="269" t="s">
        <v>1744</v>
      </c>
      <c r="AO86" s="143" t="s">
        <v>1202</v>
      </c>
      <c r="AP86" s="143">
        <v>1</v>
      </c>
      <c r="AQ86" s="143"/>
      <c r="AR86" s="143"/>
      <c r="AS86" s="143"/>
      <c r="AT86" s="143">
        <v>1</v>
      </c>
      <c r="AU86" s="143" t="s">
        <v>806</v>
      </c>
      <c r="AV86" s="143" t="s">
        <v>14</v>
      </c>
      <c r="AW86" s="62">
        <f t="shared" ca="1" si="43"/>
        <v>0</v>
      </c>
      <c r="CC86" s="608" t="str">
        <f>IF(nightmare&gt;=3,"Nightmare 3","")</f>
        <v/>
      </c>
      <c r="CD86" s="609"/>
      <c r="CE86" s="609" t="str">
        <f t="shared" si="47"/>
        <v/>
      </c>
      <c r="CF86" s="609"/>
      <c r="CG86" s="609"/>
      <c r="CH86" s="452" t="str">
        <f t="shared" si="52"/>
        <v/>
      </c>
      <c r="CI86" s="609" t="str">
        <f t="shared" si="53"/>
        <v/>
      </c>
      <c r="CJ86" s="609"/>
      <c r="CK86" s="609"/>
      <c r="CL86" s="609"/>
      <c r="CM86" s="608" t="str">
        <f>IF(J101=1,CONCATENATE("Banes 4:"," ",B101),"")</f>
        <v/>
      </c>
      <c r="CN86" s="609"/>
      <c r="CO86" s="609"/>
      <c r="CP86" s="609"/>
      <c r="CQ86" s="609"/>
      <c r="CR86" s="610"/>
    </row>
    <row r="87" spans="2:96" ht="14.25" customHeight="1" x14ac:dyDescent="0.2">
      <c r="B87" s="719"/>
      <c r="C87" s="720"/>
      <c r="D87" s="563">
        <f t="shared" si="21"/>
        <v>0</v>
      </c>
      <c r="E87" s="178"/>
      <c r="F87" s="178"/>
      <c r="G87" s="178"/>
      <c r="H87" s="429">
        <f t="shared" si="26"/>
        <v>0</v>
      </c>
      <c r="I87" s="429">
        <f t="shared" si="22"/>
        <v>0</v>
      </c>
      <c r="J87" s="151" t="str">
        <f t="shared" si="27"/>
        <v/>
      </c>
      <c r="L87" s="744" t="s">
        <v>775</v>
      </c>
      <c r="M87" s="745"/>
      <c r="N87" s="746" t="s">
        <v>1352</v>
      </c>
      <c r="O87" s="747"/>
      <c r="P87" s="747"/>
      <c r="Q87" s="747"/>
      <c r="R87" s="748" t="s">
        <v>1353</v>
      </c>
      <c r="S87" s="748"/>
      <c r="T87" s="748"/>
      <c r="U87" s="748"/>
      <c r="V87" s="197"/>
      <c r="W87" s="198" t="s">
        <v>816</v>
      </c>
      <c r="X87" s="199" t="s">
        <v>761</v>
      </c>
      <c r="Y87" s="200" t="s">
        <v>8</v>
      </c>
      <c r="Z87" s="420" t="s">
        <v>1354</v>
      </c>
      <c r="AA87" s="201" t="s">
        <v>796</v>
      </c>
      <c r="AD87" s="96">
        <v>47</v>
      </c>
      <c r="AE87" s="98" t="s">
        <v>1051</v>
      </c>
      <c r="AF87" s="99" t="s">
        <v>1052</v>
      </c>
      <c r="AG87" s="100" t="s">
        <v>1053</v>
      </c>
      <c r="AH87" s="100" t="s">
        <v>1054</v>
      </c>
      <c r="AI87" s="101" t="s">
        <v>1055</v>
      </c>
      <c r="AJ87" s="146">
        <f t="shared" si="23"/>
        <v>0</v>
      </c>
      <c r="AK87" s="146">
        <f t="shared" si="24"/>
        <v>0</v>
      </c>
      <c r="AL87" s="147">
        <f t="shared" si="25"/>
        <v>0</v>
      </c>
      <c r="AM87" s="1050" t="s">
        <v>1979</v>
      </c>
      <c r="AN87" s="269" t="s">
        <v>1776</v>
      </c>
      <c r="AO87" s="143" t="s">
        <v>1203</v>
      </c>
      <c r="AP87" s="143" t="s">
        <v>1151</v>
      </c>
      <c r="AQ87" s="143"/>
      <c r="AR87" s="143"/>
      <c r="AS87" s="143"/>
      <c r="AT87" s="143">
        <v>3</v>
      </c>
      <c r="AU87" s="143" t="str">
        <f>IF(OR(stamina&gt;2,resolve&gt;2),"Yes","No")</f>
        <v>No</v>
      </c>
      <c r="AV87" s="143" t="s">
        <v>14</v>
      </c>
      <c r="AW87" s="62">
        <f t="shared" ca="1" si="43"/>
        <v>0</v>
      </c>
      <c r="CC87" s="608" t="str">
        <f>IF(nightmare&gt;=4,"Nightmare 4","")</f>
        <v/>
      </c>
      <c r="CD87" s="609"/>
      <c r="CE87" s="609" t="str">
        <f t="shared" si="47"/>
        <v/>
      </c>
      <c r="CF87" s="609"/>
      <c r="CG87" s="609"/>
      <c r="CH87" s="452" t="str">
        <f t="shared" si="52"/>
        <v/>
      </c>
      <c r="CI87" s="609" t="str">
        <f t="shared" si="53"/>
        <v/>
      </c>
      <c r="CJ87" s="609"/>
      <c r="CK87" s="609"/>
      <c r="CL87" s="609"/>
      <c r="CM87" s="659" t="str">
        <f>IF(J103=1,CONCATENATE("Blood 1"," ",B103),"")</f>
        <v/>
      </c>
      <c r="CN87" s="660"/>
      <c r="CO87" s="660"/>
      <c r="CP87" s="660"/>
      <c r="CQ87" s="660"/>
      <c r="CR87" s="661"/>
    </row>
    <row r="88" spans="2:96" ht="14.25" customHeight="1" x14ac:dyDescent="0.2">
      <c r="B88" s="719"/>
      <c r="C88" s="720"/>
      <c r="D88" s="563">
        <f t="shared" si="21"/>
        <v>0</v>
      </c>
      <c r="E88" s="178"/>
      <c r="F88" s="178"/>
      <c r="G88" s="178"/>
      <c r="H88" s="429">
        <f t="shared" si="26"/>
        <v>0</v>
      </c>
      <c r="I88" s="429">
        <f t="shared" si="22"/>
        <v>0</v>
      </c>
      <c r="J88" s="151" t="str">
        <f t="shared" si="27"/>
        <v/>
      </c>
      <c r="L88" s="712"/>
      <c r="M88" s="713"/>
      <c r="N88" s="714"/>
      <c r="O88" s="715"/>
      <c r="P88" s="715"/>
      <c r="Q88" s="716"/>
      <c r="R88" s="688"/>
      <c r="S88" s="689"/>
      <c r="T88" s="689"/>
      <c r="U88" s="690"/>
      <c r="V88" s="202"/>
      <c r="W88" s="34" t="str">
        <f t="shared" ref="W88:W133" si="54">IF(OR(N88&lt;&gt;"",R88&lt;&gt;""),IF(L88="Crúac",VLOOKUP(N88,cruacchart,2,FALSE),IF(L88="Theban",VLOOKUP(R88,thebanchart,2,FALSE),0)),"")</f>
        <v/>
      </c>
      <c r="X88" s="271"/>
      <c r="Y88" s="203" t="str">
        <f>IF(AND(W88&lt;&gt;"",X88=""),W88*2,"0")</f>
        <v>0</v>
      </c>
      <c r="Z88" s="204" t="str">
        <f t="shared" ref="Z88:Z133" si="55">IFERROR(VLOOKUP(N88,cruacchart,8,FALSE),"")</f>
        <v/>
      </c>
      <c r="AA88" s="205" t="str">
        <f t="shared" ref="AA88:AA133" si="56">IFERROR(VLOOKUP(R88,thebanchart,8,FALSE),"")</f>
        <v/>
      </c>
      <c r="AD88" s="96">
        <v>48</v>
      </c>
      <c r="AE88" s="98" t="s">
        <v>1056</v>
      </c>
      <c r="AF88" s="99" t="s">
        <v>1057</v>
      </c>
      <c r="AG88" s="100" t="s">
        <v>1058</v>
      </c>
      <c r="AH88" s="100" t="s">
        <v>1059</v>
      </c>
      <c r="AI88" s="101" t="s">
        <v>1060</v>
      </c>
      <c r="AJ88" s="146">
        <f t="shared" si="23"/>
        <v>0</v>
      </c>
      <c r="AK88" s="146">
        <f t="shared" si="24"/>
        <v>0</v>
      </c>
      <c r="AL88" s="147">
        <f t="shared" si="25"/>
        <v>0</v>
      </c>
      <c r="AM88" s="1050" t="s">
        <v>1980</v>
      </c>
      <c r="AN88" s="269" t="s">
        <v>1805</v>
      </c>
      <c r="AO88" s="143" t="s">
        <v>1204</v>
      </c>
      <c r="AP88" s="143">
        <v>2</v>
      </c>
      <c r="AQ88" s="143"/>
      <c r="AR88" s="143"/>
      <c r="AS88" s="143"/>
      <c r="AT88" s="143">
        <v>2</v>
      </c>
      <c r="AU88" s="143" t="str">
        <f>IF(stamina&gt;1,"Yes","No")</f>
        <v>No</v>
      </c>
      <c r="AV88" s="143" t="s">
        <v>14</v>
      </c>
      <c r="AW88" s="62">
        <f t="shared" ca="1" si="43"/>
        <v>0</v>
      </c>
      <c r="CC88" s="608" t="str">
        <f>IF(nightmare&gt;=5,"Nightmare 5","")</f>
        <v/>
      </c>
      <c r="CD88" s="609"/>
      <c r="CE88" s="609" t="str">
        <f t="shared" ref="CE88" si="57">IF(CC88&lt;&gt;"",VLOOKUP(CC88,Disciplinechart,2,FALSE),"")</f>
        <v/>
      </c>
      <c r="CF88" s="609"/>
      <c r="CG88" s="609"/>
      <c r="CH88" s="452" t="str">
        <f t="shared" si="52"/>
        <v/>
      </c>
      <c r="CI88" s="609" t="str">
        <f t="shared" si="53"/>
        <v/>
      </c>
      <c r="CJ88" s="609"/>
      <c r="CK88" s="609"/>
      <c r="CL88" s="609"/>
      <c r="CM88" s="608" t="str">
        <f>IF(J104=1,CONCATENATE("Blood 2"," ",B104),"")</f>
        <v/>
      </c>
      <c r="CN88" s="609"/>
      <c r="CO88" s="609"/>
      <c r="CP88" s="609"/>
      <c r="CQ88" s="609"/>
      <c r="CR88" s="610"/>
    </row>
    <row r="89" spans="2:96" ht="14.25" customHeight="1" x14ac:dyDescent="0.2">
      <c r="B89" s="719"/>
      <c r="C89" s="720"/>
      <c r="D89" s="563">
        <f t="shared" si="21"/>
        <v>0</v>
      </c>
      <c r="E89" s="178"/>
      <c r="F89" s="178"/>
      <c r="G89" s="178"/>
      <c r="H89" s="429">
        <f t="shared" si="26"/>
        <v>0</v>
      </c>
      <c r="I89" s="429">
        <f t="shared" si="22"/>
        <v>0</v>
      </c>
      <c r="J89" s="151" t="str">
        <f t="shared" si="27"/>
        <v/>
      </c>
      <c r="L89" s="712"/>
      <c r="M89" s="713"/>
      <c r="N89" s="714"/>
      <c r="O89" s="715"/>
      <c r="P89" s="715"/>
      <c r="Q89" s="716"/>
      <c r="R89" s="688"/>
      <c r="S89" s="689"/>
      <c r="T89" s="689"/>
      <c r="U89" s="690"/>
      <c r="V89" s="202"/>
      <c r="W89" s="34" t="str">
        <f t="shared" si="54"/>
        <v/>
      </c>
      <c r="X89" s="271"/>
      <c r="Y89" s="203" t="str">
        <f>IF(AND(W89&lt;&gt;"",X89=""),W89*2,"0")</f>
        <v>0</v>
      </c>
      <c r="Z89" s="204" t="str">
        <f t="shared" si="55"/>
        <v/>
      </c>
      <c r="AA89" s="205" t="str">
        <f t="shared" si="56"/>
        <v/>
      </c>
      <c r="AD89" s="96">
        <v>49</v>
      </c>
      <c r="AE89" s="98" t="s">
        <v>1061</v>
      </c>
      <c r="AF89" s="99" t="s">
        <v>1062</v>
      </c>
      <c r="AG89" s="100" t="s">
        <v>1063</v>
      </c>
      <c r="AH89" s="100" t="s">
        <v>1064</v>
      </c>
      <c r="AI89" s="101" t="s">
        <v>1065</v>
      </c>
      <c r="AJ89" s="146">
        <f t="shared" si="23"/>
        <v>0</v>
      </c>
      <c r="AK89" s="146">
        <f t="shared" si="24"/>
        <v>0</v>
      </c>
      <c r="AL89" s="147">
        <f t="shared" si="25"/>
        <v>0</v>
      </c>
      <c r="AM89" s="1050" t="s">
        <v>1981</v>
      </c>
      <c r="AN89" s="269" t="s">
        <v>1746</v>
      </c>
      <c r="AO89" s="143" t="s">
        <v>2242</v>
      </c>
      <c r="AP89" s="143">
        <v>1</v>
      </c>
      <c r="AQ89" s="143"/>
      <c r="AR89" s="143"/>
      <c r="AS89" s="143"/>
      <c r="AT89" s="143">
        <v>1</v>
      </c>
      <c r="AU89" s="143" t="str">
        <f>IF(AND(covenant1="Carthian",science&gt;1),"Yes","No")</f>
        <v>No</v>
      </c>
      <c r="AV89" s="143" t="s">
        <v>14</v>
      </c>
      <c r="AW89" s="62">
        <f t="shared" ca="1" si="43"/>
        <v>0</v>
      </c>
      <c r="CC89" s="608" t="str">
        <f>IF(obfuscate&gt;=1,"Obfuscate 1","")</f>
        <v/>
      </c>
      <c r="CD89" s="609"/>
      <c r="CE89" s="609" t="str">
        <f t="shared" si="47"/>
        <v/>
      </c>
      <c r="CF89" s="609"/>
      <c r="CG89" s="609"/>
      <c r="CH89" s="452" t="str">
        <f t="shared" si="52"/>
        <v/>
      </c>
      <c r="CI89" s="609" t="str">
        <f t="shared" si="53"/>
        <v/>
      </c>
      <c r="CJ89" s="609"/>
      <c r="CK89" s="609"/>
      <c r="CL89" s="609"/>
      <c r="CM89" s="608" t="str">
        <f>IF(J105=1,CONCATENATE("Blood 3"," ",B105),"")</f>
        <v/>
      </c>
      <c r="CN89" s="609"/>
      <c r="CO89" s="609"/>
      <c r="CP89" s="609"/>
      <c r="CQ89" s="609"/>
      <c r="CR89" s="610"/>
    </row>
    <row r="90" spans="2:96" ht="14.25" customHeight="1" x14ac:dyDescent="0.2">
      <c r="B90" s="719"/>
      <c r="C90" s="720"/>
      <c r="D90" s="563">
        <f t="shared" si="21"/>
        <v>0</v>
      </c>
      <c r="E90" s="178"/>
      <c r="F90" s="178"/>
      <c r="G90" s="178"/>
      <c r="H90" s="429">
        <f t="shared" si="26"/>
        <v>0</v>
      </c>
      <c r="I90" s="429">
        <f t="shared" si="22"/>
        <v>0</v>
      </c>
      <c r="J90" s="151" t="str">
        <f t="shared" si="27"/>
        <v/>
      </c>
      <c r="L90" s="712"/>
      <c r="M90" s="713"/>
      <c r="N90" s="714"/>
      <c r="O90" s="715"/>
      <c r="P90" s="715"/>
      <c r="Q90" s="716"/>
      <c r="R90" s="688"/>
      <c r="S90" s="689"/>
      <c r="T90" s="689"/>
      <c r="U90" s="690"/>
      <c r="V90" s="202"/>
      <c r="W90" s="34" t="str">
        <f t="shared" si="54"/>
        <v/>
      </c>
      <c r="X90" s="271"/>
      <c r="Y90" s="203" t="str">
        <f t="shared" ref="Y90:Y133" si="58">IF(AND(W90&lt;&gt;"",X90=""),W90*2,"0")</f>
        <v>0</v>
      </c>
      <c r="Z90" s="204" t="str">
        <f t="shared" si="55"/>
        <v/>
      </c>
      <c r="AA90" s="205" t="str">
        <f t="shared" si="56"/>
        <v/>
      </c>
      <c r="AD90" s="102">
        <v>50</v>
      </c>
      <c r="AE90" s="103" t="s">
        <v>1066</v>
      </c>
      <c r="AF90" s="104" t="s">
        <v>1067</v>
      </c>
      <c r="AG90" s="105" t="s">
        <v>1068</v>
      </c>
      <c r="AH90" s="105" t="s">
        <v>1069</v>
      </c>
      <c r="AI90" s="106" t="s">
        <v>1070</v>
      </c>
      <c r="AJ90" s="146">
        <f t="shared" si="23"/>
        <v>0</v>
      </c>
      <c r="AK90" s="146">
        <f t="shared" si="24"/>
        <v>0</v>
      </c>
      <c r="AL90" s="147">
        <f t="shared" si="25"/>
        <v>0</v>
      </c>
      <c r="AM90" s="1050" t="s">
        <v>1982</v>
      </c>
      <c r="AN90" s="269" t="s">
        <v>1778</v>
      </c>
      <c r="AO90" s="143" t="s">
        <v>1205</v>
      </c>
      <c r="AP90" s="143">
        <v>1</v>
      </c>
      <c r="AQ90" s="143"/>
      <c r="AR90" s="143"/>
      <c r="AS90" s="143"/>
      <c r="AT90" s="143">
        <v>1</v>
      </c>
      <c r="AU90" s="143" t="s">
        <v>806</v>
      </c>
      <c r="AV90" s="143" t="s">
        <v>14</v>
      </c>
      <c r="AW90" s="62">
        <f t="shared" ca="1" si="43"/>
        <v>0</v>
      </c>
      <c r="CC90" s="608" t="str">
        <f>IF(obfuscate&gt;=2,"Obfuscate 2","")</f>
        <v/>
      </c>
      <c r="CD90" s="609"/>
      <c r="CE90" s="609" t="str">
        <f t="shared" si="47"/>
        <v/>
      </c>
      <c r="CF90" s="609"/>
      <c r="CG90" s="609"/>
      <c r="CH90" s="452" t="str">
        <f t="shared" si="52"/>
        <v/>
      </c>
      <c r="CI90" s="609" t="str">
        <f t="shared" si="53"/>
        <v/>
      </c>
      <c r="CJ90" s="609"/>
      <c r="CK90" s="609"/>
      <c r="CL90" s="609"/>
      <c r="CM90" s="608" t="str">
        <f>IF(J106=1,CONCATENATE("Blood 4"," ",B106),"")</f>
        <v/>
      </c>
      <c r="CN90" s="609"/>
      <c r="CO90" s="609"/>
      <c r="CP90" s="609"/>
      <c r="CQ90" s="609"/>
      <c r="CR90" s="610"/>
    </row>
    <row r="91" spans="2:96" ht="14.25" customHeight="1" thickBot="1" x14ac:dyDescent="0.25">
      <c r="B91" s="557"/>
      <c r="C91" s="558"/>
      <c r="D91" s="558"/>
      <c r="E91" s="150">
        <f>7-(SUM(E41:E90))</f>
        <v>7</v>
      </c>
      <c r="F91" s="740" t="s">
        <v>766</v>
      </c>
      <c r="G91" s="740"/>
      <c r="H91" s="740"/>
      <c r="I91" s="740"/>
      <c r="J91" s="559"/>
      <c r="L91" s="712"/>
      <c r="M91" s="713"/>
      <c r="N91" s="714"/>
      <c r="O91" s="715"/>
      <c r="P91" s="715"/>
      <c r="Q91" s="716"/>
      <c r="R91" s="688"/>
      <c r="S91" s="689"/>
      <c r="T91" s="689"/>
      <c r="U91" s="690"/>
      <c r="V91" s="202"/>
      <c r="W91" s="34" t="str">
        <f t="shared" si="54"/>
        <v/>
      </c>
      <c r="X91" s="271"/>
      <c r="Y91" s="203" t="str">
        <f t="shared" si="58"/>
        <v>0</v>
      </c>
      <c r="Z91" s="204" t="str">
        <f t="shared" si="55"/>
        <v/>
      </c>
      <c r="AA91" s="205" t="str">
        <f t="shared" si="56"/>
        <v/>
      </c>
      <c r="AM91" s="1050" t="s">
        <v>1983</v>
      </c>
      <c r="AN91" s="269" t="s">
        <v>1760</v>
      </c>
      <c r="AO91" s="143" t="s">
        <v>2243</v>
      </c>
      <c r="AP91" s="143" t="s">
        <v>1151</v>
      </c>
      <c r="AQ91" s="143"/>
      <c r="AR91" s="143"/>
      <c r="AS91" s="143"/>
      <c r="AT91" s="143">
        <v>2</v>
      </c>
      <c r="AU91" s="143" t="str">
        <f>IF(covenant1="Circle of the Crone","Yes","No")</f>
        <v>No</v>
      </c>
      <c r="AV91" s="143" t="s">
        <v>14</v>
      </c>
      <c r="AW91" s="62">
        <f t="shared" ca="1" si="43"/>
        <v>0</v>
      </c>
      <c r="CC91" s="608" t="str">
        <f>IF(obfuscate&gt;=3,"Obfuscate 3","")</f>
        <v/>
      </c>
      <c r="CD91" s="609"/>
      <c r="CE91" s="609" t="str">
        <f t="shared" si="47"/>
        <v/>
      </c>
      <c r="CF91" s="609"/>
      <c r="CG91" s="609"/>
      <c r="CH91" s="452" t="str">
        <f t="shared" si="52"/>
        <v/>
      </c>
      <c r="CI91" s="609" t="str">
        <f t="shared" si="53"/>
        <v/>
      </c>
      <c r="CJ91" s="609"/>
      <c r="CK91" s="609"/>
      <c r="CL91" s="609"/>
      <c r="CM91" s="659" t="str">
        <f>IF(J108=1,CONCATENATE("Beast 1"," ",B108),"")</f>
        <v/>
      </c>
      <c r="CN91" s="660"/>
      <c r="CO91" s="660"/>
      <c r="CP91" s="660"/>
      <c r="CQ91" s="660"/>
      <c r="CR91" s="661"/>
    </row>
    <row r="92" spans="2:96" ht="14.25" customHeight="1" thickTop="1" thickBot="1" x14ac:dyDescent="0.25">
      <c r="L92" s="712"/>
      <c r="M92" s="713"/>
      <c r="N92" s="714"/>
      <c r="O92" s="715"/>
      <c r="P92" s="715"/>
      <c r="Q92" s="716"/>
      <c r="R92" s="688"/>
      <c r="S92" s="689"/>
      <c r="T92" s="689"/>
      <c r="U92" s="690"/>
      <c r="V92" s="202"/>
      <c r="W92" s="34" t="str">
        <f t="shared" si="54"/>
        <v/>
      </c>
      <c r="X92" s="271"/>
      <c r="Y92" s="203" t="str">
        <f t="shared" si="58"/>
        <v>0</v>
      </c>
      <c r="Z92" s="204" t="str">
        <f t="shared" si="55"/>
        <v/>
      </c>
      <c r="AA92" s="205" t="str">
        <f t="shared" si="56"/>
        <v/>
      </c>
      <c r="AM92" s="1051" t="s">
        <v>1984</v>
      </c>
      <c r="AN92" s="269" t="s">
        <v>1807</v>
      </c>
      <c r="AO92" s="143" t="s">
        <v>2244</v>
      </c>
      <c r="AP92" s="143" t="s">
        <v>1151</v>
      </c>
      <c r="AQ92" s="143"/>
      <c r="AR92" s="143"/>
      <c r="AS92" s="143"/>
      <c r="AT92" s="143">
        <v>2</v>
      </c>
      <c r="AU92" s="143" t="str">
        <f>IF(covenant1="Lancea Sanctum","Yes","No")</f>
        <v>No</v>
      </c>
      <c r="AV92" s="143" t="s">
        <v>14</v>
      </c>
      <c r="AW92" s="62">
        <f t="shared" ca="1" si="43"/>
        <v>0</v>
      </c>
      <c r="CC92" s="608" t="str">
        <f>IF(obfuscate&gt;=4,"Obfuscate 4","")</f>
        <v/>
      </c>
      <c r="CD92" s="609"/>
      <c r="CE92" s="609" t="str">
        <f t="shared" si="47"/>
        <v/>
      </c>
      <c r="CF92" s="609"/>
      <c r="CG92" s="609"/>
      <c r="CH92" s="452" t="str">
        <f t="shared" si="52"/>
        <v/>
      </c>
      <c r="CI92" s="609" t="str">
        <f t="shared" si="53"/>
        <v/>
      </c>
      <c r="CJ92" s="609"/>
      <c r="CK92" s="609"/>
      <c r="CL92" s="609"/>
      <c r="CM92" s="608" t="str">
        <f>IF(J109=1,CONCATENATE("Beast 2"," ",B109),"")</f>
        <v/>
      </c>
      <c r="CN92" s="609"/>
      <c r="CO92" s="609"/>
      <c r="CP92" s="609"/>
      <c r="CQ92" s="609"/>
      <c r="CR92" s="610"/>
    </row>
    <row r="93" spans="2:96" ht="14.25" customHeight="1" thickTop="1" x14ac:dyDescent="0.2">
      <c r="B93" s="637" t="s">
        <v>1362</v>
      </c>
      <c r="C93" s="638"/>
      <c r="D93" s="638"/>
      <c r="E93" s="638"/>
      <c r="F93" s="638"/>
      <c r="G93" s="638"/>
      <c r="H93" s="749"/>
      <c r="J93" s="258">
        <f>IF(E98="1CP",1,0)+IF(E103="1CP",1,0)+IF(E108="1CP",1,0)+IF(E113="1CP",1,0)+IF(E118="1CP",1,0)+IF(E123="1CP",1,0)</f>
        <v>0</v>
      </c>
      <c r="L93" s="712"/>
      <c r="M93" s="713"/>
      <c r="N93" s="714"/>
      <c r="O93" s="715"/>
      <c r="P93" s="715"/>
      <c r="Q93" s="716"/>
      <c r="R93" s="688"/>
      <c r="S93" s="689"/>
      <c r="T93" s="689"/>
      <c r="U93" s="690"/>
      <c r="V93" s="202"/>
      <c r="W93" s="34" t="str">
        <f t="shared" si="54"/>
        <v/>
      </c>
      <c r="X93" s="271"/>
      <c r="Y93" s="203" t="str">
        <f t="shared" si="58"/>
        <v>0</v>
      </c>
      <c r="Z93" s="204" t="str">
        <f t="shared" si="55"/>
        <v/>
      </c>
      <c r="AA93" s="205" t="str">
        <f t="shared" si="56"/>
        <v/>
      </c>
      <c r="AM93" s="1051" t="s">
        <v>1985</v>
      </c>
      <c r="AN93" s="269" t="s">
        <v>1762</v>
      </c>
      <c r="AO93" s="143" t="s">
        <v>2245</v>
      </c>
      <c r="AP93" s="143" t="s">
        <v>1151</v>
      </c>
      <c r="AQ93" s="143"/>
      <c r="AR93" s="143"/>
      <c r="AS93" s="143"/>
      <c r="AT93" s="143">
        <v>3</v>
      </c>
      <c r="AU93" s="143" t="str">
        <f>IF(covenant1="Ordo Dracul","Yes","No")</f>
        <v>No</v>
      </c>
      <c r="AV93" s="143" t="s">
        <v>14</v>
      </c>
      <c r="AW93" s="62">
        <f t="shared" ca="1" si="43"/>
        <v>0</v>
      </c>
      <c r="CC93" s="608" t="str">
        <f>IF(obfuscate&gt;=5,"Obfuscate 5","")</f>
        <v/>
      </c>
      <c r="CD93" s="609"/>
      <c r="CE93" s="609" t="str">
        <f t="shared" si="47"/>
        <v/>
      </c>
      <c r="CF93" s="609"/>
      <c r="CG93" s="609"/>
      <c r="CH93" s="452" t="str">
        <f t="shared" si="52"/>
        <v/>
      </c>
      <c r="CI93" s="609" t="str">
        <f t="shared" si="53"/>
        <v/>
      </c>
      <c r="CJ93" s="609"/>
      <c r="CK93" s="609"/>
      <c r="CL93" s="609"/>
      <c r="CM93" s="608" t="str">
        <f>IF(J110=1,CONCATENATE("Beast 3"," ",B110),"")</f>
        <v/>
      </c>
      <c r="CN93" s="609"/>
      <c r="CO93" s="609"/>
      <c r="CP93" s="609"/>
      <c r="CQ93" s="609"/>
      <c r="CR93" s="610"/>
    </row>
    <row r="94" spans="2:96" ht="14.25" customHeight="1" x14ac:dyDescent="0.2">
      <c r="B94" s="639"/>
      <c r="C94" s="640"/>
      <c r="D94" s="640"/>
      <c r="E94" s="640"/>
      <c r="F94" s="640"/>
      <c r="G94" s="640"/>
      <c r="H94" s="750"/>
      <c r="L94" s="712"/>
      <c r="M94" s="713"/>
      <c r="N94" s="714"/>
      <c r="O94" s="715"/>
      <c r="P94" s="715"/>
      <c r="Q94" s="716"/>
      <c r="R94" s="688"/>
      <c r="S94" s="689"/>
      <c r="T94" s="689"/>
      <c r="U94" s="690"/>
      <c r="V94" s="202"/>
      <c r="W94" s="34" t="str">
        <f t="shared" si="54"/>
        <v/>
      </c>
      <c r="X94" s="271"/>
      <c r="Y94" s="203" t="str">
        <f t="shared" si="58"/>
        <v>0</v>
      </c>
      <c r="Z94" s="204" t="str">
        <f t="shared" si="55"/>
        <v/>
      </c>
      <c r="AA94" s="205" t="str">
        <f t="shared" si="56"/>
        <v/>
      </c>
      <c r="AM94" s="1050" t="s">
        <v>1986</v>
      </c>
      <c r="AN94" s="269" t="s">
        <v>1791</v>
      </c>
      <c r="AO94" s="143" t="s">
        <v>1206</v>
      </c>
      <c r="AP94" s="143" t="s">
        <v>1151</v>
      </c>
      <c r="AQ94" s="143"/>
      <c r="AR94" s="143" t="str">
        <f t="shared" ref="AR94:AR100" si="59">IF(covenant1="Carthian Movement","Yes","")</f>
        <v/>
      </c>
      <c r="AS94" s="143" t="str">
        <f t="shared" ref="AS94:AS100" si="60">IF(covenant1="Invictus","Yes","")</f>
        <v/>
      </c>
      <c r="AT94" s="143">
        <v>5</v>
      </c>
      <c r="AU94" s="143" t="s">
        <v>806</v>
      </c>
      <c r="AV94" s="143" t="s">
        <v>14</v>
      </c>
      <c r="AW94" s="62">
        <f t="shared" ca="1" si="43"/>
        <v>0</v>
      </c>
      <c r="CC94" s="608" t="str">
        <f>IF(protean&gt;=1,"Protean 1","")</f>
        <v/>
      </c>
      <c r="CD94" s="609"/>
      <c r="CE94" s="609" t="str">
        <f t="shared" si="47"/>
        <v/>
      </c>
      <c r="CF94" s="609"/>
      <c r="CG94" s="609"/>
      <c r="CH94" s="452" t="str">
        <f>IF(CC94&lt;&gt;"",VLOOKUP(CC94,Disciplinechart,4,FALSE),"")</f>
        <v/>
      </c>
      <c r="CI94" s="609" t="str">
        <f t="shared" si="53"/>
        <v/>
      </c>
      <c r="CJ94" s="609"/>
      <c r="CK94" s="609"/>
      <c r="CL94" s="609"/>
      <c r="CM94" s="608" t="str">
        <f>IF(J111=1,CONCATENATE("Beast 4"," ",B111),"")</f>
        <v/>
      </c>
      <c r="CN94" s="609"/>
      <c r="CO94" s="609"/>
      <c r="CP94" s="609"/>
      <c r="CQ94" s="609"/>
      <c r="CR94" s="610"/>
    </row>
    <row r="95" spans="2:96" ht="14.25" customHeight="1" x14ac:dyDescent="0.2">
      <c r="B95" s="639"/>
      <c r="C95" s="640"/>
      <c r="D95" s="640"/>
      <c r="E95" s="640"/>
      <c r="F95" s="640"/>
      <c r="G95" s="640"/>
      <c r="H95" s="750"/>
      <c r="L95" s="712"/>
      <c r="M95" s="713"/>
      <c r="N95" s="714"/>
      <c r="O95" s="715"/>
      <c r="P95" s="715"/>
      <c r="Q95" s="716"/>
      <c r="R95" s="688"/>
      <c r="S95" s="689"/>
      <c r="T95" s="689"/>
      <c r="U95" s="690"/>
      <c r="V95" s="202"/>
      <c r="W95" s="34" t="str">
        <f t="shared" si="54"/>
        <v/>
      </c>
      <c r="X95" s="271"/>
      <c r="Y95" s="203" t="str">
        <f t="shared" si="58"/>
        <v>0</v>
      </c>
      <c r="Z95" s="204" t="str">
        <f t="shared" si="55"/>
        <v/>
      </c>
      <c r="AA95" s="205" t="str">
        <f t="shared" si="56"/>
        <v/>
      </c>
      <c r="AM95" s="1050" t="s">
        <v>1987</v>
      </c>
      <c r="AN95" s="269" t="s">
        <v>1764</v>
      </c>
      <c r="AO95" s="143" t="s">
        <v>1264</v>
      </c>
      <c r="AP95" s="143">
        <v>2</v>
      </c>
      <c r="AQ95" s="143"/>
      <c r="AR95" s="143" t="str">
        <f t="shared" si="59"/>
        <v/>
      </c>
      <c r="AS95" s="143" t="str">
        <f t="shared" si="60"/>
        <v/>
      </c>
      <c r="AT95" s="143">
        <v>2</v>
      </c>
      <c r="AU95" s="143" t="str">
        <f>IF(clan1="Nosferatu","Yes","No")</f>
        <v>No</v>
      </c>
      <c r="AV95" s="143" t="s">
        <v>14</v>
      </c>
      <c r="AW95" s="62">
        <f t="shared" ca="1" si="43"/>
        <v>0</v>
      </c>
      <c r="CC95" s="608" t="str">
        <f>IF(protean&gt;=2,"Protean 2","")</f>
        <v/>
      </c>
      <c r="CD95" s="609"/>
      <c r="CE95" s="904" t="str">
        <f>IF(CC95&lt;&gt;"",CONCATENATE(VLOOKUP(CC95,Disciplinechart,2,FALSE),", ",IF(M80=3,CONCATENATE(N80,", "),""),IF(M81=3,CONCATENATE(N81,", "),""),IF(M82=3,CONCATENATE(N82,", "),""),IF(M83=3,CONCATENATE(N83),"")),"")</f>
        <v/>
      </c>
      <c r="CF95" s="904"/>
      <c r="CG95" s="904"/>
      <c r="CH95" s="904"/>
      <c r="CI95" s="904"/>
      <c r="CJ95" s="904"/>
      <c r="CK95" s="904"/>
      <c r="CL95" s="904"/>
      <c r="CM95" s="659" t="str">
        <f>IF(J113=1,CONCATENATE("Flesh 1"," ",B113),"")</f>
        <v/>
      </c>
      <c r="CN95" s="660"/>
      <c r="CO95" s="660"/>
      <c r="CP95" s="660"/>
      <c r="CQ95" s="660"/>
      <c r="CR95" s="661"/>
    </row>
    <row r="96" spans="2:96" ht="14.25" customHeight="1" x14ac:dyDescent="0.2">
      <c r="B96" s="738" t="s">
        <v>1</v>
      </c>
      <c r="C96" s="739"/>
      <c r="D96" s="212" t="s">
        <v>816</v>
      </c>
      <c r="E96" s="416" t="s">
        <v>8</v>
      </c>
      <c r="F96" s="416" t="s">
        <v>2</v>
      </c>
      <c r="G96" s="708" t="s">
        <v>6</v>
      </c>
      <c r="H96" s="709"/>
      <c r="L96" s="712"/>
      <c r="M96" s="713"/>
      <c r="N96" s="714"/>
      <c r="O96" s="715"/>
      <c r="P96" s="715"/>
      <c r="Q96" s="716"/>
      <c r="R96" s="688"/>
      <c r="S96" s="689"/>
      <c r="T96" s="689"/>
      <c r="U96" s="690"/>
      <c r="V96" s="202"/>
      <c r="W96" s="34" t="str">
        <f t="shared" si="54"/>
        <v/>
      </c>
      <c r="X96" s="271"/>
      <c r="Y96" s="203" t="str">
        <f t="shared" si="58"/>
        <v>0</v>
      </c>
      <c r="Z96" s="204" t="str">
        <f t="shared" si="55"/>
        <v/>
      </c>
      <c r="AA96" s="205" t="str">
        <f t="shared" si="56"/>
        <v/>
      </c>
      <c r="AM96" s="1050" t="s">
        <v>1988</v>
      </c>
      <c r="AN96" s="269" t="s">
        <v>1781</v>
      </c>
      <c r="AO96" s="143" t="s">
        <v>1207</v>
      </c>
      <c r="AP96" s="143" t="s">
        <v>1151</v>
      </c>
      <c r="AQ96" s="143"/>
      <c r="AR96" s="143" t="str">
        <f t="shared" si="59"/>
        <v/>
      </c>
      <c r="AS96" s="143" t="str">
        <f t="shared" si="60"/>
        <v/>
      </c>
      <c r="AT96" s="143">
        <v>3</v>
      </c>
      <c r="AU96" s="143" t="str">
        <f>IF(clan1="Mekhet","Yes","No")</f>
        <v>No</v>
      </c>
      <c r="AV96" s="143" t="s">
        <v>14</v>
      </c>
      <c r="AW96" s="62">
        <f t="shared" ca="1" si="43"/>
        <v>0</v>
      </c>
      <c r="CC96" s="608" t="str">
        <f>IF(protean&gt;=3,"Protean 3","")</f>
        <v/>
      </c>
      <c r="CD96" s="609"/>
      <c r="CE96" s="609" t="str">
        <f>IF(CC96&lt;&gt;"",VLOOKUP(CC96,Disciplinechart,2,FALSE),"")</f>
        <v/>
      </c>
      <c r="CF96" s="609"/>
      <c r="CG96" s="609"/>
      <c r="CH96" s="452" t="str">
        <f>IF(CC96&lt;&gt;"",VLOOKUP(CC96,Disciplinechart,4,FALSE),"")</f>
        <v/>
      </c>
      <c r="CI96" s="609" t="str">
        <f>IF(CC96&lt;&gt;"",VLOOKUP(CC96,Disciplinechart,6,FALSE),"")</f>
        <v/>
      </c>
      <c r="CJ96" s="609"/>
      <c r="CK96" s="609"/>
      <c r="CL96" s="609"/>
      <c r="CM96" s="608" t="str">
        <f>IF(J114=1,CONCATENATE("Flesh 2"," ",B114),"")</f>
        <v/>
      </c>
      <c r="CN96" s="609"/>
      <c r="CO96" s="609"/>
      <c r="CP96" s="609"/>
      <c r="CQ96" s="609"/>
      <c r="CR96" s="610"/>
    </row>
    <row r="97" spans="2:97" ht="14.25" customHeight="1" x14ac:dyDescent="0.2">
      <c r="B97" s="703" t="s">
        <v>1363</v>
      </c>
      <c r="C97" s="704"/>
      <c r="D97" s="704"/>
      <c r="E97" s="704"/>
      <c r="F97" s="704"/>
      <c r="G97" s="704"/>
      <c r="H97" s="705"/>
      <c r="L97" s="712"/>
      <c r="M97" s="713"/>
      <c r="N97" s="714"/>
      <c r="O97" s="715"/>
      <c r="P97" s="715"/>
      <c r="Q97" s="716"/>
      <c r="R97" s="688"/>
      <c r="S97" s="689"/>
      <c r="T97" s="689"/>
      <c r="U97" s="690"/>
      <c r="V97" s="202"/>
      <c r="W97" s="34" t="str">
        <f t="shared" si="54"/>
        <v/>
      </c>
      <c r="X97" s="271"/>
      <c r="Y97" s="203" t="str">
        <f t="shared" si="58"/>
        <v>0</v>
      </c>
      <c r="Z97" s="204" t="str">
        <f t="shared" si="55"/>
        <v/>
      </c>
      <c r="AA97" s="205" t="str">
        <f t="shared" si="56"/>
        <v/>
      </c>
      <c r="AM97" s="1050" t="s">
        <v>1989</v>
      </c>
      <c r="AN97" s="269" t="s">
        <v>1748</v>
      </c>
      <c r="AO97" s="143" t="s">
        <v>1208</v>
      </c>
      <c r="AP97" s="143" t="s">
        <v>1151</v>
      </c>
      <c r="AQ97" s="143"/>
      <c r="AR97" s="143" t="str">
        <f t="shared" si="59"/>
        <v/>
      </c>
      <c r="AS97" s="143" t="str">
        <f t="shared" si="60"/>
        <v/>
      </c>
      <c r="AT97" s="143">
        <v>5</v>
      </c>
      <c r="AU97" s="143" t="s">
        <v>806</v>
      </c>
      <c r="AV97" s="143" t="s">
        <v>14</v>
      </c>
      <c r="AW97" s="62">
        <f t="shared" ca="1" si="43"/>
        <v>0</v>
      </c>
      <c r="CC97" s="608" t="str">
        <f>IF(protean&gt;=4,"Protean 4","")</f>
        <v/>
      </c>
      <c r="CD97" s="609"/>
      <c r="CE97" s="609" t="str">
        <f>IF(CC97&lt;&gt;"",VLOOKUP(CC97,Disciplinechart,2,FALSE),"")</f>
        <v/>
      </c>
      <c r="CF97" s="609"/>
      <c r="CG97" s="609"/>
      <c r="CH97" s="452" t="str">
        <f>IF(CC97&lt;&gt;"",VLOOKUP(CC97,Disciplinechart,4,FALSE),"")</f>
        <v/>
      </c>
      <c r="CI97" s="609" t="str">
        <f>IF(CC97&lt;&gt;"",VLOOKUP(CC97,Disciplinechart,6,FALSE),"")</f>
        <v/>
      </c>
      <c r="CJ97" s="609"/>
      <c r="CK97" s="609"/>
      <c r="CL97" s="609"/>
      <c r="CM97" s="608" t="str">
        <f>IF(J115=1,CONCATENATE("Flesh 3"," ",B115),"")</f>
        <v/>
      </c>
      <c r="CN97" s="609"/>
      <c r="CO97" s="609"/>
      <c r="CP97" s="609"/>
      <c r="CQ97" s="609"/>
      <c r="CR97" s="610"/>
    </row>
    <row r="98" spans="2:97" ht="14.25" customHeight="1" x14ac:dyDescent="0.2">
      <c r="B98" s="699" t="s">
        <v>1364</v>
      </c>
      <c r="C98" s="700"/>
      <c r="D98" s="429">
        <v>1</v>
      </c>
      <c r="E98" s="178"/>
      <c r="F98" s="429">
        <v>6</v>
      </c>
      <c r="G98" s="697" t="str">
        <f>IF(covenant1="Ordo Dracul","Local","Unavailable")</f>
        <v>Unavailable</v>
      </c>
      <c r="H98" s="698"/>
      <c r="I98" s="257" t="str">
        <f>IF(OR(E98="1CP",E98=6),"Yes","No")</f>
        <v>No</v>
      </c>
      <c r="J98" s="258">
        <f>IF(I98="Yes",1,0)</f>
        <v>0</v>
      </c>
      <c r="L98" s="712"/>
      <c r="M98" s="713"/>
      <c r="N98" s="714"/>
      <c r="O98" s="715"/>
      <c r="P98" s="715"/>
      <c r="Q98" s="716"/>
      <c r="R98" s="688"/>
      <c r="S98" s="689"/>
      <c r="T98" s="689"/>
      <c r="U98" s="690"/>
      <c r="V98" s="202"/>
      <c r="W98" s="34" t="str">
        <f t="shared" si="54"/>
        <v/>
      </c>
      <c r="X98" s="271"/>
      <c r="Y98" s="203" t="str">
        <f t="shared" si="58"/>
        <v>0</v>
      </c>
      <c r="Z98" s="204" t="str">
        <f t="shared" si="55"/>
        <v/>
      </c>
      <c r="AA98" s="205" t="str">
        <f t="shared" si="56"/>
        <v/>
      </c>
      <c r="AM98" s="1050" t="s">
        <v>1990</v>
      </c>
      <c r="AN98" s="269" t="s">
        <v>1793</v>
      </c>
      <c r="AO98" s="143" t="s">
        <v>1209</v>
      </c>
      <c r="AP98" s="143" t="s">
        <v>1151</v>
      </c>
      <c r="AQ98" s="143"/>
      <c r="AR98" s="143" t="str">
        <f t="shared" si="59"/>
        <v/>
      </c>
      <c r="AS98" s="143" t="str">
        <f t="shared" si="60"/>
        <v/>
      </c>
      <c r="AT98" s="143">
        <v>5</v>
      </c>
      <c r="AU98" s="143" t="s">
        <v>806</v>
      </c>
      <c r="AV98" s="143" t="s">
        <v>14</v>
      </c>
      <c r="AW98" s="62">
        <f t="shared" ca="1" si="43"/>
        <v>0</v>
      </c>
      <c r="CC98" s="608" t="str">
        <f>IF(protean&gt;=5,"Protean 5","")</f>
        <v/>
      </c>
      <c r="CD98" s="609"/>
      <c r="CE98" s="609" t="str">
        <f>IF(CC98&lt;&gt;"",VLOOKUP(CC98,Disciplinechart,2,FALSE),"")</f>
        <v/>
      </c>
      <c r="CF98" s="609"/>
      <c r="CG98" s="609"/>
      <c r="CH98" s="452" t="str">
        <f>IF(CC98&lt;&gt;"",VLOOKUP(CC98,Disciplinechart,4,FALSE),"")</f>
        <v/>
      </c>
      <c r="CI98" s="609" t="str">
        <f>IF(CC98&lt;&gt;"",VLOOKUP(CC98,Disciplinechart,6,FALSE),"")</f>
        <v/>
      </c>
      <c r="CJ98" s="609"/>
      <c r="CK98" s="609"/>
      <c r="CL98" s="609"/>
      <c r="CM98" s="608" t="str">
        <f>IF(J116=1,CONCATENATE("Flesh 4"," ",B116),"")</f>
        <v/>
      </c>
      <c r="CN98" s="609"/>
      <c r="CO98" s="609"/>
      <c r="CP98" s="609"/>
      <c r="CQ98" s="609"/>
      <c r="CR98" s="610"/>
    </row>
    <row r="99" spans="2:97" ht="14.25" customHeight="1" x14ac:dyDescent="0.2">
      <c r="B99" s="733" t="s">
        <v>1365</v>
      </c>
      <c r="C99" s="734"/>
      <c r="D99" s="429">
        <v>2</v>
      </c>
      <c r="E99" s="178"/>
      <c r="F99" s="429">
        <v>12</v>
      </c>
      <c r="G99" s="697" t="str">
        <f>IF(covenant1="Ordo Dracul","Local","Unavailable")</f>
        <v>Unavailable</v>
      </c>
      <c r="H99" s="698"/>
      <c r="I99" s="257" t="str">
        <f>IF(E99=12,"Yes","No")</f>
        <v>No</v>
      </c>
      <c r="J99" s="258">
        <f>IF(I99="Yes",1,0)</f>
        <v>0</v>
      </c>
      <c r="L99" s="712"/>
      <c r="M99" s="713"/>
      <c r="N99" s="714"/>
      <c r="O99" s="715"/>
      <c r="P99" s="715"/>
      <c r="Q99" s="716"/>
      <c r="R99" s="688"/>
      <c r="S99" s="689"/>
      <c r="T99" s="689"/>
      <c r="U99" s="690"/>
      <c r="V99" s="202"/>
      <c r="W99" s="34" t="str">
        <f t="shared" si="54"/>
        <v/>
      </c>
      <c r="X99" s="271"/>
      <c r="Y99" s="203" t="str">
        <f t="shared" si="58"/>
        <v>0</v>
      </c>
      <c r="Z99" s="204" t="str">
        <f t="shared" si="55"/>
        <v/>
      </c>
      <c r="AA99" s="205" t="str">
        <f t="shared" si="56"/>
        <v/>
      </c>
      <c r="AM99" s="1050" t="s">
        <v>1991</v>
      </c>
      <c r="AN99" s="269" t="s">
        <v>1795</v>
      </c>
      <c r="AO99" s="143" t="s">
        <v>2246</v>
      </c>
      <c r="AP99" s="143" t="s">
        <v>1151</v>
      </c>
      <c r="AQ99" s="143"/>
      <c r="AR99" s="143"/>
      <c r="AS99" s="143"/>
      <c r="AT99" s="143">
        <v>4</v>
      </c>
      <c r="AU99" s="143" t="s">
        <v>806</v>
      </c>
      <c r="AV99" s="143" t="s">
        <v>14</v>
      </c>
      <c r="AW99" s="62">
        <f t="shared" ca="1" si="43"/>
        <v>0</v>
      </c>
      <c r="CC99" s="608" t="str">
        <f>IF(resilience&gt;0,"Resilience","")</f>
        <v/>
      </c>
      <c r="CD99" s="609"/>
      <c r="CE99" s="609" t="str">
        <f>IF(resilience&gt;0,CONCATENATE("+",resilience," To all Stamina"),"")</f>
        <v/>
      </c>
      <c r="CF99" s="609"/>
      <c r="CG99" s="609"/>
      <c r="CH99" s="609"/>
      <c r="CI99" s="609"/>
      <c r="CJ99" s="609"/>
      <c r="CK99" s="609"/>
      <c r="CL99" s="609"/>
      <c r="CM99" s="659" t="str">
        <f>IF(J118=1,CONCATENATE("Soul 1"," ",B118),"")</f>
        <v/>
      </c>
      <c r="CN99" s="660"/>
      <c r="CO99" s="660"/>
      <c r="CP99" s="660"/>
      <c r="CQ99" s="660"/>
      <c r="CR99" s="661"/>
    </row>
    <row r="100" spans="2:97" ht="14.25" customHeight="1" x14ac:dyDescent="0.2">
      <c r="B100" s="699" t="s">
        <v>1366</v>
      </c>
      <c r="C100" s="700"/>
      <c r="D100" s="429">
        <v>3</v>
      </c>
      <c r="E100" s="178"/>
      <c r="F100" s="429">
        <v>18</v>
      </c>
      <c r="G100" s="697" t="str">
        <f>IF(covenant1="Ordo Dracul","Local","Unavailable")</f>
        <v>Unavailable</v>
      </c>
      <c r="H100" s="698"/>
      <c r="I100" s="257" t="str">
        <f>IF(E100=18,"Yes","No")</f>
        <v>No</v>
      </c>
      <c r="J100" s="258">
        <f>IF(I100="Yes",1,0)</f>
        <v>0</v>
      </c>
      <c r="L100" s="712"/>
      <c r="M100" s="713"/>
      <c r="N100" s="714"/>
      <c r="O100" s="715"/>
      <c r="P100" s="715"/>
      <c r="Q100" s="716"/>
      <c r="R100" s="688"/>
      <c r="S100" s="689"/>
      <c r="T100" s="689"/>
      <c r="U100" s="690"/>
      <c r="V100" s="202"/>
      <c r="W100" s="34" t="str">
        <f t="shared" si="54"/>
        <v/>
      </c>
      <c r="X100" s="271"/>
      <c r="Y100" s="203" t="str">
        <f t="shared" si="58"/>
        <v>0</v>
      </c>
      <c r="Z100" s="204" t="str">
        <f t="shared" si="55"/>
        <v/>
      </c>
      <c r="AA100" s="205" t="str">
        <f t="shared" si="56"/>
        <v/>
      </c>
      <c r="AM100" s="1050" t="s">
        <v>1992</v>
      </c>
      <c r="AN100" s="269" t="s">
        <v>1797</v>
      </c>
      <c r="AO100" s="143" t="s">
        <v>1210</v>
      </c>
      <c r="AP100" s="143" t="s">
        <v>1151</v>
      </c>
      <c r="AQ100" s="143"/>
      <c r="AR100" s="143" t="str">
        <f t="shared" si="59"/>
        <v/>
      </c>
      <c r="AS100" s="143" t="str">
        <f t="shared" si="60"/>
        <v/>
      </c>
      <c r="AT100" s="143">
        <v>5</v>
      </c>
      <c r="AU100" s="143" t="s">
        <v>806</v>
      </c>
      <c r="AV100" s="143" t="s">
        <v>14</v>
      </c>
      <c r="AW100" s="62">
        <f t="shared" ca="1" si="43"/>
        <v>0</v>
      </c>
      <c r="CC100" s="608" t="str">
        <f>IF(vigor&gt;0,"Vigor","")</f>
        <v/>
      </c>
      <c r="CD100" s="609"/>
      <c r="CE100" s="609" t="str">
        <f>IF(vigor&gt;0,CONCATENATE("+",vigor, " To all Strength tests"),"")</f>
        <v/>
      </c>
      <c r="CF100" s="609"/>
      <c r="CG100" s="609"/>
      <c r="CH100" s="452"/>
      <c r="CI100" s="609"/>
      <c r="CJ100" s="609"/>
      <c r="CK100" s="609"/>
      <c r="CL100" s="609"/>
      <c r="CM100" s="608" t="str">
        <f>IF(J119=1,CONCATENATE("Soul 2"," ",B119),"")</f>
        <v/>
      </c>
      <c r="CN100" s="609"/>
      <c r="CO100" s="609"/>
      <c r="CP100" s="609"/>
      <c r="CQ100" s="609"/>
      <c r="CR100" s="610"/>
    </row>
    <row r="101" spans="2:97" ht="14.25" customHeight="1" x14ac:dyDescent="0.2">
      <c r="B101" s="699" t="s">
        <v>1367</v>
      </c>
      <c r="C101" s="700"/>
      <c r="D101" s="429">
        <v>4</v>
      </c>
      <c r="E101" s="178"/>
      <c r="F101" s="429">
        <v>24</v>
      </c>
      <c r="G101" s="701" t="str">
        <f>IF(covenant1="Ordo Dracul","Genre","Unavailable")</f>
        <v>Unavailable</v>
      </c>
      <c r="H101" s="702"/>
      <c r="I101" s="257" t="str">
        <f>IF(E101=24,"Yes","No")</f>
        <v>No</v>
      </c>
      <c r="J101" s="258">
        <f>IF(I101="Yes",1,0)</f>
        <v>0</v>
      </c>
      <c r="L101" s="712"/>
      <c r="M101" s="713"/>
      <c r="N101" s="714"/>
      <c r="O101" s="715"/>
      <c r="P101" s="715"/>
      <c r="Q101" s="716"/>
      <c r="R101" s="688"/>
      <c r="S101" s="689"/>
      <c r="T101" s="689"/>
      <c r="U101" s="690"/>
      <c r="V101" s="202"/>
      <c r="W101" s="34" t="str">
        <f t="shared" si="54"/>
        <v/>
      </c>
      <c r="X101" s="271"/>
      <c r="Y101" s="203" t="str">
        <f t="shared" si="58"/>
        <v>0</v>
      </c>
      <c r="Z101" s="204" t="str">
        <f t="shared" si="55"/>
        <v/>
      </c>
      <c r="AA101" s="205" t="str">
        <f t="shared" si="56"/>
        <v/>
      </c>
      <c r="AM101" s="1050" t="s">
        <v>1993</v>
      </c>
      <c r="AN101" s="269" t="s">
        <v>2327</v>
      </c>
      <c r="AO101" s="143" t="s">
        <v>1269</v>
      </c>
      <c r="AP101" s="143" t="s">
        <v>1151</v>
      </c>
      <c r="AQ101" s="143"/>
      <c r="AR101" s="143"/>
      <c r="AS101" s="143"/>
      <c r="AT101" s="143">
        <v>3</v>
      </c>
      <c r="AU101" s="143" t="str">
        <f>IF(clan1="Ventrue","Yes","No")</f>
        <v>No</v>
      </c>
      <c r="AV101" s="143" t="s">
        <v>14</v>
      </c>
      <c r="AW101" s="62">
        <f t="shared" ca="1" si="43"/>
        <v>0</v>
      </c>
      <c r="CC101" s="608" t="str">
        <f>IF(BloodDis&gt;=1,CONCATENATE(OddDiscName," 1"),"")</f>
        <v/>
      </c>
      <c r="CD101" s="609"/>
      <c r="CE101" s="609" t="str">
        <f>IF(CC101&lt;&gt;"",VLOOKUP(CC101,Disciplinechart,2,FALSE),"")</f>
        <v/>
      </c>
      <c r="CF101" s="609"/>
      <c r="CG101" s="609"/>
      <c r="CH101" s="452" t="str">
        <f>IF(CC101&lt;&gt;"",VLOOKUP(CC101,Disciplinechart,4,FALSE),"")</f>
        <v/>
      </c>
      <c r="CI101" s="609" t="str">
        <f>IF(CC101&lt;&gt;"",VLOOKUP(CC101,Disciplinechart,6,FALSE),"")</f>
        <v/>
      </c>
      <c r="CJ101" s="609"/>
      <c r="CK101" s="609"/>
      <c r="CL101" s="609"/>
      <c r="CM101" s="608" t="str">
        <f>IF(J120=1,CONCATENATE("Soul 3"," ",B120),"")</f>
        <v/>
      </c>
      <c r="CN101" s="609"/>
      <c r="CO101" s="609"/>
      <c r="CP101" s="609"/>
      <c r="CQ101" s="609"/>
      <c r="CR101" s="610"/>
    </row>
    <row r="102" spans="2:97" ht="14.25" customHeight="1" x14ac:dyDescent="0.2">
      <c r="B102" s="703" t="s">
        <v>1368</v>
      </c>
      <c r="C102" s="704"/>
      <c r="D102" s="704"/>
      <c r="E102" s="704"/>
      <c r="F102" s="704"/>
      <c r="G102" s="704"/>
      <c r="H102" s="705"/>
      <c r="L102" s="712"/>
      <c r="M102" s="713"/>
      <c r="N102" s="714"/>
      <c r="O102" s="715"/>
      <c r="P102" s="715"/>
      <c r="Q102" s="716"/>
      <c r="R102" s="688"/>
      <c r="S102" s="689"/>
      <c r="T102" s="689"/>
      <c r="U102" s="690"/>
      <c r="V102" s="202"/>
      <c r="W102" s="34" t="str">
        <f t="shared" si="54"/>
        <v/>
      </c>
      <c r="X102" s="271"/>
      <c r="Y102" s="203" t="str">
        <f t="shared" si="58"/>
        <v>0</v>
      </c>
      <c r="Z102" s="204" t="str">
        <f t="shared" si="55"/>
        <v/>
      </c>
      <c r="AA102" s="205" t="str">
        <f t="shared" si="56"/>
        <v/>
      </c>
      <c r="AM102" s="1050" t="s">
        <v>1994</v>
      </c>
      <c r="AN102" s="269" t="s">
        <v>1750</v>
      </c>
      <c r="AO102" s="143" t="s">
        <v>1213</v>
      </c>
      <c r="AP102" s="143">
        <v>2</v>
      </c>
      <c r="AQ102" s="143"/>
      <c r="AR102" s="143"/>
      <c r="AS102" s="143"/>
      <c r="AT102" s="143">
        <v>2</v>
      </c>
      <c r="AU102" s="143" t="s">
        <v>806</v>
      </c>
      <c r="AV102" s="143" t="s">
        <v>14</v>
      </c>
      <c r="AW102" s="62">
        <f t="shared" ca="1" si="43"/>
        <v>0</v>
      </c>
      <c r="CC102" s="608" t="str">
        <f>IF(BloodDis&gt;=2,CONCATENATE(OddDiscName," 2"),"")</f>
        <v/>
      </c>
      <c r="CD102" s="609"/>
      <c r="CE102" s="609" t="str">
        <f>IF(CC102&lt;&gt;"",VLOOKUP(CC102,Disciplinechart,2,FALSE),"")</f>
        <v/>
      </c>
      <c r="CF102" s="609"/>
      <c r="CG102" s="609"/>
      <c r="CH102" s="452" t="str">
        <f>IF(CC102&lt;&gt;"",VLOOKUP(CC102,Disciplinechart,4,FALSE),"")</f>
        <v/>
      </c>
      <c r="CI102" s="609" t="str">
        <f>IF(CC102&lt;&gt;"",VLOOKUP(CC102,Disciplinechart,6,FALSE),"")</f>
        <v/>
      </c>
      <c r="CJ102" s="609"/>
      <c r="CK102" s="609"/>
      <c r="CL102" s="609"/>
      <c r="CM102" s="608" t="str">
        <f>IF(J121=1,CONCATENATE("Soul 4"," ",B121),"")</f>
        <v/>
      </c>
      <c r="CN102" s="609"/>
      <c r="CO102" s="609"/>
      <c r="CP102" s="609"/>
      <c r="CQ102" s="609"/>
      <c r="CR102" s="610"/>
    </row>
    <row r="103" spans="2:97" ht="14.25" customHeight="1" x14ac:dyDescent="0.2">
      <c r="B103" s="699" t="s">
        <v>1369</v>
      </c>
      <c r="C103" s="700"/>
      <c r="D103" s="429">
        <v>1</v>
      </c>
      <c r="E103" s="178"/>
      <c r="F103" s="429">
        <v>6</v>
      </c>
      <c r="G103" s="697" t="str">
        <f>IF(covenant1="Ordo Dracul","Local","Unavailable")</f>
        <v>Unavailable</v>
      </c>
      <c r="H103" s="698"/>
      <c r="I103" s="257" t="str">
        <f>IF(OR(E103="1CP",E103=6),"Yes","No")</f>
        <v>No</v>
      </c>
      <c r="J103" s="258">
        <f t="shared" ref="J103:J106" si="61">IF(I103="Yes",1,0)</f>
        <v>0</v>
      </c>
      <c r="L103" s="712"/>
      <c r="M103" s="713"/>
      <c r="N103" s="714"/>
      <c r="O103" s="715"/>
      <c r="P103" s="715"/>
      <c r="Q103" s="716"/>
      <c r="R103" s="688"/>
      <c r="S103" s="689"/>
      <c r="T103" s="689"/>
      <c r="U103" s="690"/>
      <c r="V103" s="202"/>
      <c r="W103" s="34" t="str">
        <f t="shared" si="54"/>
        <v/>
      </c>
      <c r="X103" s="271"/>
      <c r="Y103" s="203" t="str">
        <f t="shared" si="58"/>
        <v>0</v>
      </c>
      <c r="Z103" s="204" t="str">
        <f t="shared" si="55"/>
        <v/>
      </c>
      <c r="AA103" s="205" t="str">
        <f t="shared" si="56"/>
        <v/>
      </c>
      <c r="AM103" s="1050" t="s">
        <v>1995</v>
      </c>
      <c r="AN103" s="269" t="s">
        <v>1809</v>
      </c>
      <c r="AO103" s="143" t="s">
        <v>1214</v>
      </c>
      <c r="AP103" s="143">
        <v>4</v>
      </c>
      <c r="AQ103" s="143"/>
      <c r="AR103" s="143"/>
      <c r="AS103" s="143"/>
      <c r="AT103" s="143">
        <v>4</v>
      </c>
      <c r="AU103" s="143" t="s">
        <v>806</v>
      </c>
      <c r="AV103" s="143" t="s">
        <v>14</v>
      </c>
      <c r="AW103" s="62">
        <f t="shared" ca="1" si="43"/>
        <v>0</v>
      </c>
      <c r="CC103" s="608" t="str">
        <f>IF(BloodDis&gt;=3,CONCATENATE(OddDiscName," 3"),"")</f>
        <v/>
      </c>
      <c r="CD103" s="609"/>
      <c r="CE103" s="609" t="str">
        <f>IF(CC103&lt;&gt;"",VLOOKUP(CC103,Disciplinechart,2,FALSE),"")</f>
        <v/>
      </c>
      <c r="CF103" s="609"/>
      <c r="CG103" s="609"/>
      <c r="CH103" s="452" t="str">
        <f>IF(CC103&lt;&gt;"",VLOOKUP(CC103,Disciplinechart,4,FALSE),"")</f>
        <v/>
      </c>
      <c r="CI103" s="609" t="str">
        <f>IF(CC103&lt;&gt;"",VLOOKUP(CC103,Disciplinechart,6,FALSE),"")</f>
        <v/>
      </c>
      <c r="CJ103" s="609"/>
      <c r="CK103" s="609"/>
      <c r="CL103" s="609"/>
      <c r="CM103" s="659" t="str">
        <f>IF(J123=1,CONCATENATE("Slumber 1"," ",B123),"")</f>
        <v/>
      </c>
      <c r="CN103" s="660"/>
      <c r="CO103" s="660"/>
      <c r="CP103" s="660"/>
      <c r="CQ103" s="660"/>
      <c r="CR103" s="661"/>
    </row>
    <row r="104" spans="2:97" ht="14.25" customHeight="1" x14ac:dyDescent="0.2">
      <c r="B104" s="699" t="s">
        <v>1370</v>
      </c>
      <c r="C104" s="700"/>
      <c r="D104" s="429">
        <v>2</v>
      </c>
      <c r="E104" s="178"/>
      <c r="F104" s="429">
        <v>12</v>
      </c>
      <c r="G104" s="697" t="str">
        <f>IF(covenant1="Ordo Dracul","Local","Unavailable")</f>
        <v>Unavailable</v>
      </c>
      <c r="H104" s="698"/>
      <c r="I104" s="257" t="str">
        <f>IF(E104=12,"Yes","No")</f>
        <v>No</v>
      </c>
      <c r="J104" s="258">
        <f t="shared" si="61"/>
        <v>0</v>
      </c>
      <c r="L104" s="712"/>
      <c r="M104" s="713"/>
      <c r="N104" s="714"/>
      <c r="O104" s="715"/>
      <c r="P104" s="715"/>
      <c r="Q104" s="716"/>
      <c r="R104" s="688"/>
      <c r="S104" s="689"/>
      <c r="T104" s="689"/>
      <c r="U104" s="690"/>
      <c r="V104" s="202"/>
      <c r="W104" s="34" t="str">
        <f t="shared" si="54"/>
        <v/>
      </c>
      <c r="X104" s="271"/>
      <c r="Y104" s="203" t="str">
        <f t="shared" si="58"/>
        <v>0</v>
      </c>
      <c r="Z104" s="204" t="str">
        <f t="shared" si="55"/>
        <v/>
      </c>
      <c r="AA104" s="205" t="str">
        <f t="shared" si="56"/>
        <v/>
      </c>
      <c r="AM104" s="1050" t="s">
        <v>1996</v>
      </c>
      <c r="AN104" s="269" t="s">
        <v>1783</v>
      </c>
      <c r="AO104" s="143" t="s">
        <v>1211</v>
      </c>
      <c r="AP104" s="143">
        <v>1</v>
      </c>
      <c r="AQ104" s="143"/>
      <c r="AR104" s="143"/>
      <c r="AS104" s="143"/>
      <c r="AT104" s="143">
        <v>1</v>
      </c>
      <c r="AU104" s="143" t="s">
        <v>806</v>
      </c>
      <c r="AV104" s="143" t="s">
        <v>14</v>
      </c>
      <c r="AW104" s="62">
        <f t="shared" ca="1" si="43"/>
        <v>0</v>
      </c>
      <c r="CC104" s="608" t="str">
        <f>IF(BloodDis&gt;=4,CONCATENATE(OddDiscName," 4"),"")</f>
        <v/>
      </c>
      <c r="CD104" s="609"/>
      <c r="CE104" s="609" t="str">
        <f>IF(CC104&lt;&gt;"",VLOOKUP(CC104,Disciplinechart,2,FALSE),"")</f>
        <v/>
      </c>
      <c r="CF104" s="609"/>
      <c r="CG104" s="609"/>
      <c r="CH104" s="452" t="str">
        <f>IF(CC104&lt;&gt;"",VLOOKUP(CC104,Disciplinechart,4,FALSE),"")</f>
        <v/>
      </c>
      <c r="CI104" s="609" t="str">
        <f>IF(CC104&lt;&gt;"",VLOOKUP(CC104,Disciplinechart,6,FALSE),"")</f>
        <v/>
      </c>
      <c r="CJ104" s="609"/>
      <c r="CK104" s="609"/>
      <c r="CL104" s="609"/>
      <c r="CM104" s="608" t="str">
        <f>IF(J124=1,CONCATENATE("Slumber 2"," ",B124),"")</f>
        <v/>
      </c>
      <c r="CN104" s="609"/>
      <c r="CO104" s="609"/>
      <c r="CP104" s="609"/>
      <c r="CQ104" s="609"/>
      <c r="CR104" s="610"/>
    </row>
    <row r="105" spans="2:97" ht="14.25" customHeight="1" x14ac:dyDescent="0.2">
      <c r="B105" s="699" t="s">
        <v>1371</v>
      </c>
      <c r="C105" s="700"/>
      <c r="D105" s="429">
        <v>3</v>
      </c>
      <c r="E105" s="178"/>
      <c r="F105" s="429">
        <v>18</v>
      </c>
      <c r="G105" s="697" t="str">
        <f>IF(covenant1="Ordo Dracul","Local","Unavailable")</f>
        <v>Unavailable</v>
      </c>
      <c r="H105" s="698"/>
      <c r="I105" s="257" t="str">
        <f>IF(E105=18,"Yes","No")</f>
        <v>No</v>
      </c>
      <c r="J105" s="258">
        <f t="shared" si="61"/>
        <v>0</v>
      </c>
      <c r="L105" s="712"/>
      <c r="M105" s="713"/>
      <c r="N105" s="714"/>
      <c r="O105" s="715"/>
      <c r="P105" s="715"/>
      <c r="Q105" s="716"/>
      <c r="R105" s="688"/>
      <c r="S105" s="689"/>
      <c r="T105" s="689"/>
      <c r="U105" s="690"/>
      <c r="V105" s="202"/>
      <c r="W105" s="34" t="str">
        <f t="shared" si="54"/>
        <v/>
      </c>
      <c r="X105" s="271"/>
      <c r="Y105" s="203" t="str">
        <f t="shared" si="58"/>
        <v>0</v>
      </c>
      <c r="Z105" s="204" t="str">
        <f t="shared" si="55"/>
        <v/>
      </c>
      <c r="AA105" s="205" t="str">
        <f t="shared" si="56"/>
        <v/>
      </c>
      <c r="AM105" s="1050" t="s">
        <v>1997</v>
      </c>
      <c r="AN105" s="269" t="s">
        <v>1752</v>
      </c>
      <c r="AO105" s="143" t="s">
        <v>1212</v>
      </c>
      <c r="AP105" s="143" t="s">
        <v>1151</v>
      </c>
      <c r="AQ105" s="143"/>
      <c r="AR105" s="143"/>
      <c r="AS105" s="143" t="str">
        <f>IF(covenant1="Invictus","Yes","")</f>
        <v/>
      </c>
      <c r="AT105" s="143">
        <v>5</v>
      </c>
      <c r="AU105" s="143" t="s">
        <v>806</v>
      </c>
      <c r="AV105" s="143" t="s">
        <v>14</v>
      </c>
      <c r="AW105" s="62">
        <f t="shared" ca="1" si="43"/>
        <v>0</v>
      </c>
      <c r="CC105" s="608" t="str">
        <f>IF(BloodDis&gt;=5,CONCATENATE(OddDiscName," 5"),"")</f>
        <v/>
      </c>
      <c r="CD105" s="609"/>
      <c r="CE105" s="609" t="str">
        <f>IF(CC105&lt;&gt;"",VLOOKUP(CC105,Disciplinechart,2,FALSE),"")</f>
        <v/>
      </c>
      <c r="CF105" s="609"/>
      <c r="CG105" s="609"/>
      <c r="CH105" s="452" t="str">
        <f>IF(CC105&lt;&gt;"",VLOOKUP(CC105,Disciplinechart,4,FALSE),"")</f>
        <v/>
      </c>
      <c r="CI105" s="609" t="str">
        <f>IF(CC105&lt;&gt;"",VLOOKUP(CC105,Disciplinechart,6,FALSE),"")</f>
        <v/>
      </c>
      <c r="CJ105" s="609"/>
      <c r="CK105" s="609"/>
      <c r="CL105" s="609"/>
      <c r="CM105" s="611" t="str">
        <f>IF(J125=1,CONCATENATE("Slumber 3"," ",B125),"")</f>
        <v/>
      </c>
      <c r="CN105" s="612"/>
      <c r="CO105" s="612"/>
      <c r="CP105" s="612"/>
      <c r="CQ105" s="612"/>
      <c r="CR105" s="613"/>
      <c r="CS105" s="487"/>
    </row>
    <row r="106" spans="2:97" ht="14.25" customHeight="1" x14ac:dyDescent="0.2">
      <c r="B106" s="699" t="s">
        <v>1372</v>
      </c>
      <c r="C106" s="700"/>
      <c r="D106" s="429">
        <v>4</v>
      </c>
      <c r="E106" s="178"/>
      <c r="F106" s="429">
        <v>24</v>
      </c>
      <c r="G106" s="701" t="str">
        <f>IF(covenant1="Ordo Dracul","Genre","Unavailable")</f>
        <v>Unavailable</v>
      </c>
      <c r="H106" s="702"/>
      <c r="I106" s="257" t="str">
        <f>IF(E106=24,"Yes","No")</f>
        <v>No</v>
      </c>
      <c r="J106" s="258">
        <f t="shared" si="61"/>
        <v>0</v>
      </c>
      <c r="L106" s="712"/>
      <c r="M106" s="713"/>
      <c r="N106" s="714"/>
      <c r="O106" s="715"/>
      <c r="P106" s="715"/>
      <c r="Q106" s="716"/>
      <c r="R106" s="688"/>
      <c r="S106" s="689"/>
      <c r="T106" s="689"/>
      <c r="U106" s="690"/>
      <c r="V106" s="202"/>
      <c r="W106" s="34" t="str">
        <f t="shared" si="54"/>
        <v/>
      </c>
      <c r="X106" s="271"/>
      <c r="Y106" s="203" t="str">
        <f t="shared" si="58"/>
        <v>0</v>
      </c>
      <c r="Z106" s="204" t="str">
        <f t="shared" si="55"/>
        <v/>
      </c>
      <c r="AA106" s="205" t="str">
        <f t="shared" si="56"/>
        <v/>
      </c>
      <c r="AM106" s="1050" t="s">
        <v>1998</v>
      </c>
      <c r="AN106" s="269" t="s">
        <v>1766</v>
      </c>
      <c r="AO106" s="143" t="s">
        <v>1278</v>
      </c>
      <c r="AP106" s="143">
        <v>3</v>
      </c>
      <c r="AQ106" s="143"/>
      <c r="AR106" s="143"/>
      <c r="AS106" s="143"/>
      <c r="AT106" s="143">
        <v>3</v>
      </c>
      <c r="AU106" s="143" t="str">
        <f>IF(AND(covenant1="Ordo Dracul",intelligence&gt;2),"Yes","No")</f>
        <v>No</v>
      </c>
      <c r="AV106" s="143" t="s">
        <v>14</v>
      </c>
      <c r="AW106" s="62">
        <f t="shared" ca="1" si="43"/>
        <v>0</v>
      </c>
      <c r="CC106" s="479"/>
      <c r="CD106" s="479"/>
      <c r="CE106" s="479"/>
      <c r="CF106" s="479"/>
      <c r="CG106" s="479"/>
      <c r="CH106" s="462"/>
      <c r="CI106" s="479"/>
      <c r="CJ106" s="479"/>
      <c r="CK106" s="479"/>
      <c r="CL106" s="479"/>
      <c r="CM106" s="486"/>
      <c r="CN106" s="486"/>
      <c r="CO106" s="486"/>
      <c r="CP106" s="486"/>
      <c r="CQ106" s="486"/>
      <c r="CR106" s="486"/>
      <c r="CS106" s="487"/>
    </row>
    <row r="107" spans="2:97" ht="14.25" customHeight="1" x14ac:dyDescent="0.2">
      <c r="B107" s="703" t="s">
        <v>1373</v>
      </c>
      <c r="C107" s="704"/>
      <c r="D107" s="704"/>
      <c r="E107" s="704"/>
      <c r="F107" s="704"/>
      <c r="G107" s="704"/>
      <c r="H107" s="705"/>
      <c r="L107" s="712"/>
      <c r="M107" s="713"/>
      <c r="N107" s="714"/>
      <c r="O107" s="715"/>
      <c r="P107" s="715"/>
      <c r="Q107" s="716"/>
      <c r="R107" s="688"/>
      <c r="S107" s="689"/>
      <c r="T107" s="689"/>
      <c r="U107" s="690"/>
      <c r="V107" s="202"/>
      <c r="W107" s="34" t="str">
        <f t="shared" si="54"/>
        <v/>
      </c>
      <c r="X107" s="271"/>
      <c r="Y107" s="203" t="str">
        <f t="shared" si="58"/>
        <v>0</v>
      </c>
      <c r="Z107" s="204" t="str">
        <f t="shared" si="55"/>
        <v/>
      </c>
      <c r="AA107" s="205" t="str">
        <f t="shared" si="56"/>
        <v/>
      </c>
      <c r="AM107" s="1050" t="s">
        <v>1999</v>
      </c>
      <c r="AN107" s="270" t="s">
        <v>1812</v>
      </c>
      <c r="AO107" s="143" t="s">
        <v>2247</v>
      </c>
      <c r="AP107" s="143">
        <v>2</v>
      </c>
      <c r="AQ107" s="143"/>
      <c r="AR107" s="143"/>
      <c r="AS107" s="143"/>
      <c r="AT107" s="143">
        <v>2</v>
      </c>
      <c r="AU107" s="143" t="str">
        <f ca="1">IF(AND(covenant1="Ordo Dracul",AW108&gt;0),"Yes","No")</f>
        <v>No</v>
      </c>
      <c r="AV107" s="143" t="s">
        <v>14</v>
      </c>
      <c r="AW107" s="62">
        <f t="shared" ca="1" si="43"/>
        <v>0</v>
      </c>
      <c r="CC107" s="486"/>
      <c r="CD107" s="486"/>
      <c r="CE107" s="486"/>
      <c r="CF107" s="486"/>
      <c r="CG107" s="486"/>
      <c r="CH107" s="464"/>
      <c r="CI107" s="486"/>
      <c r="CJ107" s="486"/>
      <c r="CK107" s="486"/>
      <c r="CL107" s="486"/>
      <c r="CM107" s="486"/>
      <c r="CN107" s="486"/>
      <c r="CO107" s="486"/>
      <c r="CP107" s="486"/>
      <c r="CQ107" s="486"/>
      <c r="CR107" s="486"/>
      <c r="CS107" s="487"/>
    </row>
    <row r="108" spans="2:97" ht="14.25" customHeight="1" x14ac:dyDescent="0.2">
      <c r="B108" s="699" t="s">
        <v>1374</v>
      </c>
      <c r="C108" s="700"/>
      <c r="D108" s="429">
        <v>1</v>
      </c>
      <c r="E108" s="178"/>
      <c r="F108" s="429">
        <v>6</v>
      </c>
      <c r="G108" s="697" t="str">
        <f>IF(covenant1="Ordo Dracul","Local","Unavailable")</f>
        <v>Unavailable</v>
      </c>
      <c r="H108" s="698"/>
      <c r="I108" s="257" t="str">
        <f>IF(OR(E108="1CP",E108=6),"Yes","No")</f>
        <v>No</v>
      </c>
      <c r="J108" s="258">
        <f t="shared" ref="J108:J111" si="62">IF(I108="Yes",1,0)</f>
        <v>0</v>
      </c>
      <c r="L108" s="712"/>
      <c r="M108" s="713"/>
      <c r="N108" s="714"/>
      <c r="O108" s="715"/>
      <c r="P108" s="715"/>
      <c r="Q108" s="716"/>
      <c r="R108" s="688"/>
      <c r="S108" s="689"/>
      <c r="T108" s="689"/>
      <c r="U108" s="690"/>
      <c r="V108" s="202"/>
      <c r="W108" s="34" t="str">
        <f t="shared" si="54"/>
        <v/>
      </c>
      <c r="X108" s="271"/>
      <c r="Y108" s="203" t="str">
        <f t="shared" si="58"/>
        <v>0</v>
      </c>
      <c r="Z108" s="204" t="str">
        <f t="shared" si="55"/>
        <v/>
      </c>
      <c r="AA108" s="205" t="str">
        <f t="shared" si="56"/>
        <v/>
      </c>
      <c r="AM108" s="342" t="s">
        <v>2000</v>
      </c>
      <c r="AO108" s="143" t="s">
        <v>1279</v>
      </c>
      <c r="AP108" s="143">
        <v>2</v>
      </c>
      <c r="AQ108" s="143"/>
      <c r="AR108" s="143"/>
      <c r="AS108" s="143"/>
      <c r="AT108" s="143">
        <v>2</v>
      </c>
      <c r="AU108" s="143" t="str">
        <f ca="1">IF(AND(intelligence&gt;2,AW106&gt;0),"Yes","No")</f>
        <v>No</v>
      </c>
      <c r="AV108" s="143" t="s">
        <v>14</v>
      </c>
      <c r="AW108" s="62">
        <f t="shared" ca="1" si="43"/>
        <v>0</v>
      </c>
      <c r="CC108" s="486"/>
      <c r="CD108" s="486"/>
      <c r="CE108" s="486"/>
      <c r="CF108" s="486"/>
      <c r="CG108" s="486"/>
      <c r="CH108" s="464"/>
      <c r="CI108" s="486"/>
      <c r="CJ108" s="486"/>
      <c r="CK108" s="486"/>
      <c r="CL108" s="486"/>
      <c r="CM108" s="486"/>
      <c r="CN108" s="486"/>
      <c r="CO108" s="486"/>
      <c r="CP108" s="486"/>
      <c r="CQ108" s="486"/>
      <c r="CR108" s="486"/>
      <c r="CS108" s="487"/>
    </row>
    <row r="109" spans="2:97" ht="14.25" customHeight="1" x14ac:dyDescent="0.2">
      <c r="B109" s="699" t="s">
        <v>1375</v>
      </c>
      <c r="C109" s="700"/>
      <c r="D109" s="429">
        <v>2</v>
      </c>
      <c r="E109" s="178"/>
      <c r="F109" s="429">
        <v>12</v>
      </c>
      <c r="G109" s="697" t="str">
        <f>IF(covenant1="Ordo Dracul","Local","Unavailable")</f>
        <v>Unavailable</v>
      </c>
      <c r="H109" s="698"/>
      <c r="I109" s="257" t="str">
        <f>IF(E109=12,"Yes","No")</f>
        <v>No</v>
      </c>
      <c r="J109" s="258">
        <f t="shared" si="62"/>
        <v>0</v>
      </c>
      <c r="L109" s="712"/>
      <c r="M109" s="713"/>
      <c r="N109" s="714"/>
      <c r="O109" s="715"/>
      <c r="P109" s="715"/>
      <c r="Q109" s="716"/>
      <c r="R109" s="688"/>
      <c r="S109" s="689"/>
      <c r="T109" s="689"/>
      <c r="U109" s="690"/>
      <c r="V109" s="202"/>
      <c r="W109" s="34" t="str">
        <f t="shared" si="54"/>
        <v/>
      </c>
      <c r="X109" s="271"/>
      <c r="Y109" s="203" t="str">
        <f t="shared" si="58"/>
        <v>0</v>
      </c>
      <c r="Z109" s="204" t="str">
        <f t="shared" si="55"/>
        <v/>
      </c>
      <c r="AA109" s="205" t="str">
        <f t="shared" si="56"/>
        <v/>
      </c>
      <c r="AM109" s="342" t="s">
        <v>2001</v>
      </c>
      <c r="AO109" s="143" t="s">
        <v>1215</v>
      </c>
      <c r="AP109" s="143">
        <v>1</v>
      </c>
      <c r="AQ109" s="143"/>
      <c r="AR109" s="143"/>
      <c r="AS109" s="143"/>
      <c r="AT109" s="143">
        <v>1</v>
      </c>
      <c r="AU109" s="143" t="s">
        <v>806</v>
      </c>
      <c r="AV109" s="143" t="s">
        <v>14</v>
      </c>
      <c r="AW109" s="62">
        <f t="shared" ca="1" si="43"/>
        <v>0</v>
      </c>
      <c r="CC109" s="486"/>
      <c r="CD109" s="486"/>
      <c r="CE109" s="486"/>
      <c r="CF109" s="486"/>
      <c r="CG109" s="486"/>
      <c r="CH109" s="464"/>
      <c r="CI109" s="486"/>
      <c r="CJ109" s="486"/>
      <c r="CK109" s="486"/>
      <c r="CL109" s="486"/>
      <c r="CM109" s="486"/>
      <c r="CN109" s="486"/>
      <c r="CO109" s="486"/>
      <c r="CP109" s="486"/>
      <c r="CQ109" s="486"/>
      <c r="CR109" s="486"/>
    </row>
    <row r="110" spans="2:97" ht="14.25" customHeight="1" x14ac:dyDescent="0.2">
      <c r="B110" s="699" t="s">
        <v>1376</v>
      </c>
      <c r="C110" s="700"/>
      <c r="D110" s="429">
        <v>3</v>
      </c>
      <c r="E110" s="178"/>
      <c r="F110" s="429">
        <v>18</v>
      </c>
      <c r="G110" s="697" t="str">
        <f>IF(covenant1="Ordo Dracul","Local","Unavailable")</f>
        <v>Unavailable</v>
      </c>
      <c r="H110" s="698"/>
      <c r="I110" s="257" t="str">
        <f>IF(E110=18,"Yes","No")</f>
        <v>No</v>
      </c>
      <c r="J110" s="258">
        <f t="shared" si="62"/>
        <v>0</v>
      </c>
      <c r="L110" s="712"/>
      <c r="M110" s="713"/>
      <c r="N110" s="714"/>
      <c r="O110" s="715"/>
      <c r="P110" s="715"/>
      <c r="Q110" s="716"/>
      <c r="R110" s="688"/>
      <c r="S110" s="689"/>
      <c r="T110" s="689"/>
      <c r="U110" s="690"/>
      <c r="V110" s="202"/>
      <c r="W110" s="34" t="str">
        <f t="shared" si="54"/>
        <v/>
      </c>
      <c r="X110" s="271"/>
      <c r="Y110" s="203" t="str">
        <f t="shared" si="58"/>
        <v>0</v>
      </c>
      <c r="Z110" s="204" t="str">
        <f t="shared" si="55"/>
        <v/>
      </c>
      <c r="AA110" s="205" t="str">
        <f t="shared" si="56"/>
        <v/>
      </c>
      <c r="AM110" s="343" t="s">
        <v>2002</v>
      </c>
      <c r="AO110" s="143" t="s">
        <v>1280</v>
      </c>
      <c r="AP110" s="143">
        <v>3</v>
      </c>
      <c r="AQ110" s="143"/>
      <c r="AR110" s="143"/>
      <c r="AS110" s="143"/>
      <c r="AT110" s="143">
        <v>3</v>
      </c>
      <c r="AU110" s="143" t="str">
        <f>IF(covenant1="Ordo Dracul","Yes","No")</f>
        <v>No</v>
      </c>
      <c r="AV110" s="143" t="s">
        <v>14</v>
      </c>
      <c r="AW110" s="62">
        <f t="shared" ca="1" si="43"/>
        <v>0</v>
      </c>
      <c r="CC110" s="486"/>
      <c r="CD110" s="486"/>
      <c r="CE110" s="486"/>
      <c r="CF110" s="486"/>
      <c r="CG110" s="486"/>
      <c r="CH110" s="464"/>
      <c r="CI110" s="486"/>
      <c r="CJ110" s="486"/>
      <c r="CK110" s="486"/>
      <c r="CL110" s="486"/>
      <c r="CM110" s="486"/>
      <c r="CN110" s="486"/>
      <c r="CO110" s="486"/>
      <c r="CP110" s="486"/>
      <c r="CQ110" s="486"/>
      <c r="CR110" s="486"/>
    </row>
    <row r="111" spans="2:97" ht="14.25" customHeight="1" x14ac:dyDescent="0.25">
      <c r="B111" s="699" t="s">
        <v>1377</v>
      </c>
      <c r="C111" s="700"/>
      <c r="D111" s="429">
        <v>4</v>
      </c>
      <c r="E111" s="178"/>
      <c r="F111" s="429">
        <v>24</v>
      </c>
      <c r="G111" s="701" t="str">
        <f>IF(covenant1="Ordo Dracul","Genre","Unavailable")</f>
        <v>Unavailable</v>
      </c>
      <c r="H111" s="702"/>
      <c r="I111" s="257" t="str">
        <f>IF(E111=24,"Yes","No")</f>
        <v>No</v>
      </c>
      <c r="J111" s="258">
        <f t="shared" si="62"/>
        <v>0</v>
      </c>
      <c r="L111" s="712"/>
      <c r="M111" s="713"/>
      <c r="N111" s="714"/>
      <c r="O111" s="715"/>
      <c r="P111" s="715"/>
      <c r="Q111" s="716"/>
      <c r="R111" s="688"/>
      <c r="S111" s="689"/>
      <c r="T111" s="689"/>
      <c r="U111" s="690"/>
      <c r="V111" s="202"/>
      <c r="W111" s="34" t="str">
        <f t="shared" si="54"/>
        <v/>
      </c>
      <c r="X111" s="271"/>
      <c r="Y111" s="203" t="str">
        <f t="shared" si="58"/>
        <v>0</v>
      </c>
      <c r="Z111" s="204" t="str">
        <f t="shared" si="55"/>
        <v/>
      </c>
      <c r="AA111" s="205" t="str">
        <f t="shared" si="56"/>
        <v/>
      </c>
      <c r="AO111" s="143" t="s">
        <v>1216</v>
      </c>
      <c r="AP111" s="143">
        <v>1</v>
      </c>
      <c r="AQ111" s="143"/>
      <c r="AR111" s="143"/>
      <c r="AS111" s="143"/>
      <c r="AT111" s="143">
        <v>1</v>
      </c>
      <c r="AU111" s="143" t="str">
        <f>IF(stamina&gt;1,"Yes","No")</f>
        <v>No</v>
      </c>
      <c r="AV111" s="143" t="s">
        <v>14</v>
      </c>
      <c r="AW111" s="62">
        <f t="shared" ca="1" si="43"/>
        <v>0</v>
      </c>
      <c r="CC111" s="486"/>
      <c r="CD111" s="486"/>
      <c r="CE111" s="486"/>
      <c r="CF111" s="486"/>
      <c r="CG111" s="486"/>
      <c r="CH111" s="464"/>
      <c r="CI111" s="486"/>
      <c r="CJ111" s="486"/>
      <c r="CK111" s="486"/>
      <c r="CL111" s="486"/>
      <c r="CM111" s="486"/>
      <c r="CN111" s="486"/>
      <c r="CO111" s="486"/>
      <c r="CP111" s="486"/>
      <c r="CQ111" s="486"/>
      <c r="CR111" s="486"/>
    </row>
    <row r="112" spans="2:97" ht="14.25" customHeight="1" x14ac:dyDescent="0.25">
      <c r="B112" s="703" t="s">
        <v>1378</v>
      </c>
      <c r="C112" s="704"/>
      <c r="D112" s="704"/>
      <c r="E112" s="704"/>
      <c r="F112" s="704"/>
      <c r="G112" s="704"/>
      <c r="H112" s="705"/>
      <c r="L112" s="712"/>
      <c r="M112" s="713"/>
      <c r="N112" s="714"/>
      <c r="O112" s="715"/>
      <c r="P112" s="715"/>
      <c r="Q112" s="716"/>
      <c r="R112" s="688"/>
      <c r="S112" s="689"/>
      <c r="T112" s="689"/>
      <c r="U112" s="690"/>
      <c r="V112" s="202"/>
      <c r="W112" s="34" t="str">
        <f t="shared" si="54"/>
        <v/>
      </c>
      <c r="X112" s="271"/>
      <c r="Y112" s="203" t="str">
        <f t="shared" si="58"/>
        <v>0</v>
      </c>
      <c r="Z112" s="204" t="str">
        <f t="shared" si="55"/>
        <v/>
      </c>
      <c r="AA112" s="205" t="str">
        <f t="shared" si="56"/>
        <v/>
      </c>
      <c r="AO112" s="143" t="s">
        <v>1217</v>
      </c>
      <c r="AP112" s="143">
        <v>1</v>
      </c>
      <c r="AQ112" s="143"/>
      <c r="AR112" s="143"/>
      <c r="AS112" s="143"/>
      <c r="AT112" s="143">
        <v>1</v>
      </c>
      <c r="AU112" s="143" t="s">
        <v>806</v>
      </c>
      <c r="AV112" s="143" t="s">
        <v>14</v>
      </c>
      <c r="AW112" s="62">
        <f t="shared" ca="1" si="43"/>
        <v>0</v>
      </c>
      <c r="CC112" s="486"/>
      <c r="CD112" s="486"/>
      <c r="CE112" s="464"/>
      <c r="CF112" s="464"/>
      <c r="CG112" s="464"/>
      <c r="CH112" s="464"/>
      <c r="CI112" s="464"/>
      <c r="CJ112" s="464"/>
      <c r="CK112" s="464"/>
      <c r="CL112" s="464"/>
      <c r="CM112" s="486"/>
      <c r="CN112" s="486"/>
      <c r="CO112" s="486"/>
      <c r="CP112" s="486"/>
      <c r="CQ112" s="486"/>
      <c r="CR112" s="486"/>
    </row>
    <row r="113" spans="2:96" ht="14.25" customHeight="1" x14ac:dyDescent="0.25">
      <c r="B113" s="699" t="s">
        <v>1379</v>
      </c>
      <c r="C113" s="700"/>
      <c r="D113" s="429">
        <v>1</v>
      </c>
      <c r="E113" s="178"/>
      <c r="F113" s="429">
        <v>6</v>
      </c>
      <c r="G113" s="697" t="str">
        <f>IF(covenant1="Ordo Dracul","Local","Unavailable")</f>
        <v>Unavailable</v>
      </c>
      <c r="H113" s="698"/>
      <c r="I113" s="257" t="str">
        <f>IF(OR(E113="1CP",E113=6),"Yes","No")</f>
        <v>No</v>
      </c>
      <c r="J113" s="258">
        <f t="shared" ref="J113:J116" si="63">IF(I113="Yes",1,0)</f>
        <v>0</v>
      </c>
      <c r="L113" s="712"/>
      <c r="M113" s="713"/>
      <c r="N113" s="714"/>
      <c r="O113" s="715"/>
      <c r="P113" s="715"/>
      <c r="Q113" s="716"/>
      <c r="R113" s="688"/>
      <c r="S113" s="689"/>
      <c r="T113" s="689"/>
      <c r="U113" s="690"/>
      <c r="V113" s="202"/>
      <c r="W113" s="34" t="str">
        <f t="shared" si="54"/>
        <v/>
      </c>
      <c r="X113" s="271"/>
      <c r="Y113" s="203" t="str">
        <f t="shared" si="58"/>
        <v>0</v>
      </c>
      <c r="Z113" s="204" t="str">
        <f t="shared" si="55"/>
        <v/>
      </c>
      <c r="AA113" s="205" t="str">
        <f t="shared" si="56"/>
        <v/>
      </c>
      <c r="AO113" s="143" t="s">
        <v>1218</v>
      </c>
      <c r="AP113" s="143">
        <v>2</v>
      </c>
      <c r="AQ113" s="143"/>
      <c r="AR113" s="143"/>
      <c r="AS113" s="143"/>
      <c r="AT113" s="143">
        <v>2</v>
      </c>
      <c r="AU113" s="143" t="s">
        <v>806</v>
      </c>
      <c r="AV113" s="143" t="s">
        <v>14</v>
      </c>
      <c r="AW113" s="62">
        <f t="shared" ca="1" si="43"/>
        <v>0</v>
      </c>
      <c r="CC113" s="659" t="str">
        <f>CONCATENATE("Player Name: ",IF(playername&lt;&gt;"",playername,""))</f>
        <v xml:space="preserve">Player Name: </v>
      </c>
      <c r="CD113" s="660"/>
      <c r="CE113" s="660"/>
      <c r="CF113" s="660"/>
      <c r="CG113" s="660"/>
      <c r="CH113" s="660" t="str">
        <f>CONCATENATE("Local Storyteller: ",IF(stname&lt;&gt;"",stname,""))</f>
        <v xml:space="preserve">Local Storyteller: </v>
      </c>
      <c r="CI113" s="660"/>
      <c r="CJ113" s="660"/>
      <c r="CK113" s="660"/>
      <c r="CL113" s="660"/>
      <c r="CM113" s="660" t="str">
        <f>CONCATENATE("Direct Coordinator: ",IF(coordinatorname&lt;&gt;"",coordinatorname,""))</f>
        <v xml:space="preserve">Direct Coordinator: </v>
      </c>
      <c r="CN113" s="660"/>
      <c r="CO113" s="660"/>
      <c r="CP113" s="660"/>
      <c r="CQ113" s="660"/>
      <c r="CR113" s="661"/>
    </row>
    <row r="114" spans="2:96" ht="14.25" customHeight="1" x14ac:dyDescent="0.25">
      <c r="B114" s="699" t="s">
        <v>1380</v>
      </c>
      <c r="C114" s="700"/>
      <c r="D114" s="429">
        <v>2</v>
      </c>
      <c r="E114" s="178"/>
      <c r="F114" s="429">
        <v>12</v>
      </c>
      <c r="G114" s="697" t="str">
        <f>IF(covenant1="Ordo Dracul","Local","Unavailable")</f>
        <v>Unavailable</v>
      </c>
      <c r="H114" s="698"/>
      <c r="I114" s="257" t="str">
        <f>IF(E114=12,"Yes","No")</f>
        <v>No</v>
      </c>
      <c r="J114" s="258">
        <f t="shared" si="63"/>
        <v>0</v>
      </c>
      <c r="L114" s="712"/>
      <c r="M114" s="713"/>
      <c r="N114" s="714"/>
      <c r="O114" s="715"/>
      <c r="P114" s="715"/>
      <c r="Q114" s="716"/>
      <c r="R114" s="688"/>
      <c r="S114" s="689"/>
      <c r="T114" s="689"/>
      <c r="U114" s="690"/>
      <c r="V114" s="202"/>
      <c r="W114" s="34" t="str">
        <f t="shared" si="54"/>
        <v/>
      </c>
      <c r="X114" s="271"/>
      <c r="Y114" s="203" t="str">
        <f t="shared" si="58"/>
        <v>0</v>
      </c>
      <c r="Z114" s="204" t="str">
        <f t="shared" si="55"/>
        <v/>
      </c>
      <c r="AA114" s="205" t="str">
        <f t="shared" si="56"/>
        <v/>
      </c>
      <c r="AO114" s="143" t="s">
        <v>1219</v>
      </c>
      <c r="AP114" s="143">
        <v>4</v>
      </c>
      <c r="AQ114" s="143"/>
      <c r="AR114" s="143"/>
      <c r="AS114" s="143"/>
      <c r="AT114" s="143">
        <v>4</v>
      </c>
      <c r="AU114" s="143" t="s">
        <v>806</v>
      </c>
      <c r="AV114" s="143" t="s">
        <v>14</v>
      </c>
      <c r="AW114" s="62">
        <f t="shared" ca="1" si="43"/>
        <v>0</v>
      </c>
      <c r="CC114" s="608" t="str">
        <f>CONCATENATE("Email Address: ",IF(emailaddress&lt;&gt;"",emailaddress,""))</f>
        <v xml:space="preserve">Email Address: </v>
      </c>
      <c r="CD114" s="609"/>
      <c r="CE114" s="609"/>
      <c r="CF114" s="609"/>
      <c r="CG114" s="609"/>
      <c r="CH114" s="609" t="str">
        <f>CONCATENATE("Storyteller Email: ",IF(stemail&lt;&gt;"",stemail,""))</f>
        <v xml:space="preserve">Storyteller Email: </v>
      </c>
      <c r="CI114" s="609"/>
      <c r="CJ114" s="609"/>
      <c r="CK114" s="609"/>
      <c r="CL114" s="609"/>
      <c r="CM114" s="609" t="str">
        <f>CONCATENATE("Coordinator Email: ",IF(cemail&lt;&gt;"",cemail,""))</f>
        <v xml:space="preserve">Coordinator Email: </v>
      </c>
      <c r="CN114" s="609"/>
      <c r="CO114" s="609"/>
      <c r="CP114" s="609"/>
      <c r="CQ114" s="609"/>
      <c r="CR114" s="610"/>
    </row>
    <row r="115" spans="2:96" ht="14.25" customHeight="1" x14ac:dyDescent="0.25">
      <c r="B115" s="699" t="s">
        <v>1381</v>
      </c>
      <c r="C115" s="700"/>
      <c r="D115" s="429">
        <v>3</v>
      </c>
      <c r="E115" s="178"/>
      <c r="F115" s="429">
        <v>18</v>
      </c>
      <c r="G115" s="697" t="str">
        <f>IF(covenant1="Ordo Dracul","Local","Unavailable")</f>
        <v>Unavailable</v>
      </c>
      <c r="H115" s="698"/>
      <c r="I115" s="257" t="str">
        <f>IF(E115=18,"Yes","No")</f>
        <v>No</v>
      </c>
      <c r="J115" s="258">
        <f t="shared" si="63"/>
        <v>0</v>
      </c>
      <c r="L115" s="712"/>
      <c r="M115" s="713"/>
      <c r="N115" s="714"/>
      <c r="O115" s="715"/>
      <c r="P115" s="715"/>
      <c r="Q115" s="716"/>
      <c r="R115" s="688"/>
      <c r="S115" s="689"/>
      <c r="T115" s="689"/>
      <c r="U115" s="690"/>
      <c r="V115" s="202"/>
      <c r="W115" s="34" t="str">
        <f t="shared" si="54"/>
        <v/>
      </c>
      <c r="X115" s="271"/>
      <c r="Y115" s="203" t="str">
        <f t="shared" si="58"/>
        <v>0</v>
      </c>
      <c r="Z115" s="204" t="str">
        <f t="shared" si="55"/>
        <v/>
      </c>
      <c r="AA115" s="205" t="str">
        <f t="shared" si="56"/>
        <v/>
      </c>
      <c r="AO115" s="143" t="s">
        <v>1270</v>
      </c>
      <c r="AP115" s="143">
        <v>3</v>
      </c>
      <c r="AQ115" s="143"/>
      <c r="AR115" s="143"/>
      <c r="AS115" s="143"/>
      <c r="AT115" s="143">
        <v>3</v>
      </c>
      <c r="AU115" s="143" t="str">
        <f>IF(AND(medicine&gt;2,covenant1="Carthian Movement"),"Yes","No")</f>
        <v>No</v>
      </c>
      <c r="AV115" s="143" t="s">
        <v>14</v>
      </c>
      <c r="AW115" s="62">
        <f t="shared" ca="1" si="43"/>
        <v>0</v>
      </c>
      <c r="CC115" s="611" t="str">
        <f>CONCATENATE("Membership ID: ",IF(membernumber&lt;&gt;"",membernumber,""))</f>
        <v xml:space="preserve">Membership ID: </v>
      </c>
      <c r="CD115" s="612"/>
      <c r="CE115" s="612"/>
      <c r="CF115" s="612"/>
      <c r="CG115" s="612"/>
      <c r="CH115" s="612" t="str">
        <f>CONCATENATE("Primary/Secondary: ",IF(priorsec&lt;&gt;"",priorsec,""))</f>
        <v xml:space="preserve">Primary/Secondary: </v>
      </c>
      <c r="CI115" s="612"/>
      <c r="CJ115" s="612"/>
      <c r="CK115" s="612"/>
      <c r="CL115" s="612"/>
      <c r="CM115" s="612" t="str">
        <f>CONCATENATE("Character Domain: ",IF(chardomain&lt;&gt;"",chardomain,""))</f>
        <v xml:space="preserve">Character Domain: </v>
      </c>
      <c r="CN115" s="612"/>
      <c r="CO115" s="612"/>
      <c r="CP115" s="612"/>
      <c r="CQ115" s="612"/>
      <c r="CR115" s="613"/>
    </row>
    <row r="116" spans="2:96" ht="14.25" customHeight="1" x14ac:dyDescent="0.25">
      <c r="B116" s="699" t="s">
        <v>1382</v>
      </c>
      <c r="C116" s="700"/>
      <c r="D116" s="429">
        <v>4</v>
      </c>
      <c r="E116" s="178"/>
      <c r="F116" s="429">
        <v>24</v>
      </c>
      <c r="G116" s="701" t="str">
        <f>IF(covenant1="Ordo Dracul","Genre","Unavailable")</f>
        <v>Unavailable</v>
      </c>
      <c r="H116" s="702"/>
      <c r="I116" s="257" t="str">
        <f>IF(E116=24,"Yes","No")</f>
        <v>No</v>
      </c>
      <c r="J116" s="258">
        <f t="shared" si="63"/>
        <v>0</v>
      </c>
      <c r="L116" s="712"/>
      <c r="M116" s="713"/>
      <c r="N116" s="714"/>
      <c r="O116" s="715"/>
      <c r="P116" s="715"/>
      <c r="Q116" s="716"/>
      <c r="R116" s="688"/>
      <c r="S116" s="689"/>
      <c r="T116" s="689"/>
      <c r="U116" s="690"/>
      <c r="V116" s="202"/>
      <c r="W116" s="34" t="str">
        <f t="shared" si="54"/>
        <v/>
      </c>
      <c r="X116" s="271"/>
      <c r="Y116" s="203" t="str">
        <f t="shared" si="58"/>
        <v>0</v>
      </c>
      <c r="Z116" s="204" t="str">
        <f t="shared" si="55"/>
        <v/>
      </c>
      <c r="AA116" s="205" t="str">
        <f t="shared" si="56"/>
        <v/>
      </c>
      <c r="AO116" s="143" t="s">
        <v>1261</v>
      </c>
      <c r="AP116" s="143">
        <v>4</v>
      </c>
      <c r="AQ116" s="143"/>
      <c r="AR116" s="143"/>
      <c r="AS116" s="143"/>
      <c r="AT116" s="143">
        <v>4</v>
      </c>
      <c r="AU116" s="143" t="str">
        <f>IF(clan1="Gangrel","Yes","No")</f>
        <v>No</v>
      </c>
      <c r="AV116" s="143" t="s">
        <v>14</v>
      </c>
      <c r="AW116" s="62">
        <f t="shared" ca="1" si="43"/>
        <v>0</v>
      </c>
      <c r="CC116" s="466"/>
      <c r="CD116" s="466"/>
      <c r="CE116" s="466"/>
      <c r="CF116" s="466"/>
      <c r="CG116" s="466"/>
      <c r="CH116" s="466"/>
      <c r="CI116" s="466"/>
      <c r="CJ116" s="466"/>
      <c r="CK116" s="466"/>
      <c r="CL116" s="466"/>
      <c r="CM116" s="467"/>
      <c r="CN116" s="467"/>
      <c r="CO116" s="467"/>
      <c r="CP116" s="467"/>
      <c r="CQ116" s="467"/>
      <c r="CR116" s="467"/>
    </row>
    <row r="117" spans="2:96" ht="14.25" customHeight="1" x14ac:dyDescent="0.25">
      <c r="B117" s="703" t="s">
        <v>1383</v>
      </c>
      <c r="C117" s="704"/>
      <c r="D117" s="704"/>
      <c r="E117" s="704"/>
      <c r="F117" s="704"/>
      <c r="G117" s="704"/>
      <c r="H117" s="705"/>
      <c r="L117" s="712"/>
      <c r="M117" s="713"/>
      <c r="N117" s="714"/>
      <c r="O117" s="715"/>
      <c r="P117" s="715"/>
      <c r="Q117" s="716"/>
      <c r="R117" s="688"/>
      <c r="S117" s="689"/>
      <c r="T117" s="689"/>
      <c r="U117" s="690"/>
      <c r="V117" s="202"/>
      <c r="W117" s="34" t="str">
        <f t="shared" si="54"/>
        <v/>
      </c>
      <c r="X117" s="271"/>
      <c r="Y117" s="203" t="str">
        <f t="shared" si="58"/>
        <v>0</v>
      </c>
      <c r="Z117" s="204" t="str">
        <f t="shared" si="55"/>
        <v/>
      </c>
      <c r="AA117" s="205" t="str">
        <f t="shared" si="56"/>
        <v/>
      </c>
      <c r="AO117" s="143" t="s">
        <v>1220</v>
      </c>
      <c r="AP117" s="143">
        <v>2</v>
      </c>
      <c r="AQ117" s="143"/>
      <c r="AR117" s="143"/>
      <c r="AS117" s="143"/>
      <c r="AT117" s="143">
        <v>2</v>
      </c>
      <c r="AU117" s="143" t="str">
        <f>IF(survival&gt;2,"Yes","No")</f>
        <v>No</v>
      </c>
      <c r="AV117" s="143" t="s">
        <v>14</v>
      </c>
      <c r="AW117" s="62">
        <f t="shared" ca="1" si="43"/>
        <v>0</v>
      </c>
      <c r="CC117" s="674" t="s">
        <v>1106</v>
      </c>
      <c r="CD117" s="674"/>
      <c r="CE117" s="675" t="s">
        <v>2189</v>
      </c>
      <c r="CF117" s="675"/>
      <c r="CG117" s="468"/>
      <c r="CH117" s="676" t="s">
        <v>2219</v>
      </c>
      <c r="CI117" s="676"/>
      <c r="CJ117" s="677" t="s">
        <v>2190</v>
      </c>
      <c r="CK117" s="678"/>
      <c r="CL117" s="678"/>
      <c r="CM117" s="678"/>
      <c r="CN117" s="678"/>
      <c r="CO117" s="678"/>
      <c r="CP117" s="678"/>
      <c r="CQ117" s="678"/>
      <c r="CR117" s="679"/>
    </row>
    <row r="118" spans="2:96" ht="14.25" customHeight="1" x14ac:dyDescent="0.25">
      <c r="B118" s="699" t="s">
        <v>1384</v>
      </c>
      <c r="C118" s="700"/>
      <c r="D118" s="429">
        <v>1</v>
      </c>
      <c r="E118" s="178"/>
      <c r="F118" s="429">
        <v>6</v>
      </c>
      <c r="G118" s="697" t="str">
        <f>IF(covenant1="Ordo Dracul","Local","Unavailable")</f>
        <v>Unavailable</v>
      </c>
      <c r="H118" s="698"/>
      <c r="I118" s="257" t="str">
        <f>IF(OR(E118="1CP",E118=6),"Yes","No")</f>
        <v>No</v>
      </c>
      <c r="J118" s="258">
        <f t="shared" ref="J118:J121" si="64">IF(I118="Yes",1,0)</f>
        <v>0</v>
      </c>
      <c r="L118" s="712"/>
      <c r="M118" s="713"/>
      <c r="N118" s="714"/>
      <c r="O118" s="715"/>
      <c r="P118" s="715"/>
      <c r="Q118" s="716"/>
      <c r="R118" s="688"/>
      <c r="S118" s="689"/>
      <c r="T118" s="689"/>
      <c r="U118" s="690"/>
      <c r="V118" s="202"/>
      <c r="W118" s="34" t="str">
        <f t="shared" si="54"/>
        <v/>
      </c>
      <c r="X118" s="271"/>
      <c r="Y118" s="203" t="str">
        <f t="shared" si="58"/>
        <v>0</v>
      </c>
      <c r="Z118" s="204" t="str">
        <f t="shared" si="55"/>
        <v/>
      </c>
      <c r="AA118" s="205" t="str">
        <f t="shared" si="56"/>
        <v/>
      </c>
      <c r="AO118" s="143" t="s">
        <v>2248</v>
      </c>
      <c r="AP118" s="143">
        <v>2</v>
      </c>
      <c r="AQ118" s="143"/>
      <c r="AR118" s="143"/>
      <c r="AS118" s="143"/>
      <c r="AT118" s="143">
        <v>2</v>
      </c>
      <c r="AU118" s="143" t="str">
        <f>IF(clan1="Gangrel","Yes","No")</f>
        <v>No</v>
      </c>
      <c r="AV118" s="143" t="s">
        <v>14</v>
      </c>
      <c r="AW118" s="62">
        <f t="shared" ca="1" si="43"/>
        <v>0</v>
      </c>
      <c r="CC118" s="680" t="s">
        <v>2191</v>
      </c>
      <c r="CD118" s="681"/>
      <c r="CE118" s="681"/>
      <c r="CF118" s="469" t="s">
        <v>1865</v>
      </c>
      <c r="CG118" s="682" t="s">
        <v>1866</v>
      </c>
      <c r="CH118" s="682"/>
      <c r="CI118" s="683"/>
      <c r="CJ118" s="680" t="s">
        <v>740</v>
      </c>
      <c r="CK118" s="681"/>
      <c r="CL118" s="681"/>
      <c r="CM118" s="681"/>
      <c r="CN118" s="470" t="s">
        <v>2192</v>
      </c>
      <c r="CO118" s="469" t="s">
        <v>2193</v>
      </c>
      <c r="CP118" s="681" t="s">
        <v>2194</v>
      </c>
      <c r="CQ118" s="681"/>
      <c r="CR118" s="684"/>
    </row>
    <row r="119" spans="2:96" ht="14.25" customHeight="1" x14ac:dyDescent="0.25">
      <c r="B119" s="699" t="s">
        <v>1385</v>
      </c>
      <c r="C119" s="700"/>
      <c r="D119" s="429">
        <v>2</v>
      </c>
      <c r="E119" s="178"/>
      <c r="F119" s="429">
        <v>12</v>
      </c>
      <c r="G119" s="697" t="str">
        <f>IF(covenant1="Ordo Dracul","Local","Unavailable")</f>
        <v>Unavailable</v>
      </c>
      <c r="H119" s="698"/>
      <c r="I119" s="257" t="str">
        <f>IF(E119=12,"Yes","No")</f>
        <v>No</v>
      </c>
      <c r="J119" s="258">
        <f t="shared" si="64"/>
        <v>0</v>
      </c>
      <c r="L119" s="712"/>
      <c r="M119" s="713"/>
      <c r="N119" s="714"/>
      <c r="O119" s="715"/>
      <c r="P119" s="715"/>
      <c r="Q119" s="716"/>
      <c r="R119" s="688"/>
      <c r="S119" s="689"/>
      <c r="T119" s="689"/>
      <c r="U119" s="690"/>
      <c r="V119" s="202"/>
      <c r="W119" s="34" t="str">
        <f t="shared" si="54"/>
        <v/>
      </c>
      <c r="X119" s="271"/>
      <c r="Y119" s="203" t="str">
        <f t="shared" si="58"/>
        <v>0</v>
      </c>
      <c r="Z119" s="204" t="str">
        <f t="shared" si="55"/>
        <v/>
      </c>
      <c r="AA119" s="205" t="str">
        <f t="shared" si="56"/>
        <v/>
      </c>
      <c r="AO119" s="61" t="s">
        <v>1221</v>
      </c>
      <c r="AP119" s="143" t="s">
        <v>1151</v>
      </c>
      <c r="AQ119" s="143"/>
      <c r="AR119" s="143"/>
      <c r="AS119" s="143"/>
      <c r="AT119" s="143">
        <v>5</v>
      </c>
      <c r="AU119" s="143" t="str">
        <f>IF(AND(dexterity&gt;2,athletics&gt;1),"Yes","No")</f>
        <v>No</v>
      </c>
      <c r="AV119" s="143" t="s">
        <v>14</v>
      </c>
      <c r="AW119" s="62">
        <f t="shared" ca="1" si="43"/>
        <v>0</v>
      </c>
      <c r="CC119" s="608" t="str">
        <f t="shared" ref="CC119:CC164" si="65">IF(L88&lt;&gt;"",CONCATENATE(IF(L88="Crúac",N88,IF(L88="Theban",R88,""))," (",W88,")"),"")</f>
        <v/>
      </c>
      <c r="CD119" s="609"/>
      <c r="CE119" s="609"/>
      <c r="CF119" s="452" t="str">
        <f t="shared" ref="CF119:CF164" si="66">IF(W88&lt;&gt;"",IF(L88="Crúac",VLOOKUP(N88,cruacchart,3,FALSE),IF(L88="Theban",VLOOKUP(R88,thebanchart,3,FALSE),"")),"")</f>
        <v/>
      </c>
      <c r="CG119" s="609" t="str">
        <f t="shared" ref="CG119:CG164" si="67">IF(W88&lt;&gt;"",IF(L88="Crúac",VLOOKUP(N88,cruacchart,4,FALSE),IF(L88="Theban",VLOOKUP(R88,thebanchart,4,FALSE),"")),"")</f>
        <v/>
      </c>
      <c r="CH119" s="609"/>
      <c r="CI119" s="610"/>
      <c r="CJ119" s="608" t="str">
        <f t="shared" ref="CJ119:CJ164" si="68">IF(B131&lt;&gt;"",B131,"")</f>
        <v/>
      </c>
      <c r="CK119" s="609"/>
      <c r="CL119" s="609"/>
      <c r="CM119" s="609"/>
      <c r="CN119" s="459" t="str">
        <f t="shared" ref="CN119:CN164" si="69">IF(B131&lt;&gt;"",VLOOKUP(B131,DevotionChart,2,FALSE),"")</f>
        <v/>
      </c>
      <c r="CO119" s="452" t="str">
        <f t="shared" ref="CO119:CO164" si="70">IF(B131&lt;&gt;"",VLOOKUP(B131,DevotionChart,3,FALSE),"")</f>
        <v/>
      </c>
      <c r="CP119" s="609" t="str">
        <f t="shared" ref="CP119:CP164" si="71">IF(B131&lt;&gt;"",VLOOKUP(B131,DevotionChart,5,FALSE),"")</f>
        <v/>
      </c>
      <c r="CQ119" s="609"/>
      <c r="CR119" s="610"/>
    </row>
    <row r="120" spans="2:96" ht="14.25" customHeight="1" x14ac:dyDescent="0.25">
      <c r="B120" s="699" t="s">
        <v>1386</v>
      </c>
      <c r="C120" s="700"/>
      <c r="D120" s="429">
        <v>3</v>
      </c>
      <c r="E120" s="178"/>
      <c r="F120" s="429">
        <v>18</v>
      </c>
      <c r="G120" s="697" t="str">
        <f>IF(covenant1="Ordo Dracul","Local","Unavailable")</f>
        <v>Unavailable</v>
      </c>
      <c r="H120" s="698"/>
      <c r="I120" s="257" t="str">
        <f>IF(E120=18,"Yes","No")</f>
        <v>No</v>
      </c>
      <c r="J120" s="258">
        <f t="shared" si="64"/>
        <v>0</v>
      </c>
      <c r="L120" s="712"/>
      <c r="M120" s="713"/>
      <c r="N120" s="714"/>
      <c r="O120" s="715"/>
      <c r="P120" s="715"/>
      <c r="Q120" s="716"/>
      <c r="R120" s="688"/>
      <c r="S120" s="689"/>
      <c r="T120" s="689"/>
      <c r="U120" s="690"/>
      <c r="V120" s="202"/>
      <c r="W120" s="34" t="str">
        <f t="shared" si="54"/>
        <v/>
      </c>
      <c r="X120" s="271"/>
      <c r="Y120" s="203" t="str">
        <f t="shared" si="58"/>
        <v>0</v>
      </c>
      <c r="Z120" s="204" t="str">
        <f t="shared" si="55"/>
        <v/>
      </c>
      <c r="AA120" s="205" t="str">
        <f t="shared" si="56"/>
        <v/>
      </c>
      <c r="AO120" s="61" t="s">
        <v>1222</v>
      </c>
      <c r="AP120" s="143">
        <v>1</v>
      </c>
      <c r="AQ120" s="143"/>
      <c r="AR120" s="143"/>
      <c r="AS120" s="143"/>
      <c r="AT120" s="143">
        <v>1</v>
      </c>
      <c r="AU120" s="143" t="str">
        <f>IF(stealth&gt;0,"Yes","No")</f>
        <v>No</v>
      </c>
      <c r="AV120" s="143" t="s">
        <v>14</v>
      </c>
      <c r="AW120" s="62">
        <f t="shared" ca="1" si="43"/>
        <v>0</v>
      </c>
      <c r="CC120" s="608" t="str">
        <f t="shared" si="65"/>
        <v/>
      </c>
      <c r="CD120" s="609"/>
      <c r="CE120" s="609"/>
      <c r="CF120" s="452" t="str">
        <f t="shared" si="66"/>
        <v/>
      </c>
      <c r="CG120" s="609" t="str">
        <f t="shared" si="67"/>
        <v/>
      </c>
      <c r="CH120" s="609"/>
      <c r="CI120" s="610"/>
      <c r="CJ120" s="608" t="str">
        <f t="shared" si="68"/>
        <v/>
      </c>
      <c r="CK120" s="609"/>
      <c r="CL120" s="609"/>
      <c r="CM120" s="609"/>
      <c r="CN120" s="459" t="str">
        <f t="shared" si="69"/>
        <v/>
      </c>
      <c r="CO120" s="452" t="str">
        <f t="shared" si="70"/>
        <v/>
      </c>
      <c r="CP120" s="609" t="str">
        <f t="shared" si="71"/>
        <v/>
      </c>
      <c r="CQ120" s="609"/>
      <c r="CR120" s="610"/>
    </row>
    <row r="121" spans="2:96" ht="14.25" customHeight="1" x14ac:dyDescent="0.25">
      <c r="B121" s="699" t="s">
        <v>1387</v>
      </c>
      <c r="C121" s="700"/>
      <c r="D121" s="429">
        <v>4</v>
      </c>
      <c r="E121" s="178"/>
      <c r="F121" s="429">
        <v>24</v>
      </c>
      <c r="G121" s="701" t="str">
        <f>IF(covenant1="Ordo Dracul","Genre","Unavailable")</f>
        <v>Unavailable</v>
      </c>
      <c r="H121" s="702"/>
      <c r="I121" s="257" t="str">
        <f>IF(E121=24,"Yes","No")</f>
        <v>No</v>
      </c>
      <c r="J121" s="258">
        <f t="shared" si="64"/>
        <v>0</v>
      </c>
      <c r="L121" s="712"/>
      <c r="M121" s="713"/>
      <c r="N121" s="714"/>
      <c r="O121" s="715"/>
      <c r="P121" s="715"/>
      <c r="Q121" s="716"/>
      <c r="R121" s="688"/>
      <c r="S121" s="689"/>
      <c r="T121" s="689"/>
      <c r="U121" s="690"/>
      <c r="V121" s="202"/>
      <c r="W121" s="34" t="str">
        <f t="shared" si="54"/>
        <v/>
      </c>
      <c r="X121" s="271"/>
      <c r="Y121" s="203" t="str">
        <f t="shared" si="58"/>
        <v>0</v>
      </c>
      <c r="Z121" s="204" t="str">
        <f t="shared" si="55"/>
        <v/>
      </c>
      <c r="AA121" s="205" t="str">
        <f t="shared" si="56"/>
        <v/>
      </c>
      <c r="AO121" s="61" t="s">
        <v>1223</v>
      </c>
      <c r="AP121" s="143">
        <v>1</v>
      </c>
      <c r="AQ121" s="143"/>
      <c r="AR121" s="143"/>
      <c r="AS121" s="143"/>
      <c r="AT121" s="143">
        <v>1</v>
      </c>
      <c r="AU121" s="143" t="s">
        <v>806</v>
      </c>
      <c r="AV121" s="143" t="s">
        <v>14</v>
      </c>
      <c r="AW121" s="62">
        <f t="shared" ca="1" si="43"/>
        <v>0</v>
      </c>
      <c r="CC121" s="608" t="str">
        <f t="shared" si="65"/>
        <v/>
      </c>
      <c r="CD121" s="609"/>
      <c r="CE121" s="609"/>
      <c r="CF121" s="452" t="str">
        <f t="shared" si="66"/>
        <v/>
      </c>
      <c r="CG121" s="609" t="str">
        <f t="shared" si="67"/>
        <v/>
      </c>
      <c r="CH121" s="609"/>
      <c r="CI121" s="610"/>
      <c r="CJ121" s="608" t="str">
        <f t="shared" si="68"/>
        <v/>
      </c>
      <c r="CK121" s="609"/>
      <c r="CL121" s="609"/>
      <c r="CM121" s="609"/>
      <c r="CN121" s="459" t="str">
        <f t="shared" si="69"/>
        <v/>
      </c>
      <c r="CO121" s="452" t="str">
        <f t="shared" si="70"/>
        <v/>
      </c>
      <c r="CP121" s="609" t="str">
        <f t="shared" si="71"/>
        <v/>
      </c>
      <c r="CQ121" s="609"/>
      <c r="CR121" s="610"/>
    </row>
    <row r="122" spans="2:96" ht="14.25" customHeight="1" x14ac:dyDescent="0.25">
      <c r="B122" s="703" t="s">
        <v>1818</v>
      </c>
      <c r="C122" s="704"/>
      <c r="D122" s="704"/>
      <c r="E122" s="704"/>
      <c r="F122" s="704"/>
      <c r="G122" s="704"/>
      <c r="H122" s="705"/>
      <c r="L122" s="712"/>
      <c r="M122" s="713"/>
      <c r="N122" s="714"/>
      <c r="O122" s="715"/>
      <c r="P122" s="715"/>
      <c r="Q122" s="716"/>
      <c r="R122" s="688"/>
      <c r="S122" s="689"/>
      <c r="T122" s="689"/>
      <c r="U122" s="690"/>
      <c r="V122" s="202"/>
      <c r="W122" s="34" t="str">
        <f t="shared" si="54"/>
        <v/>
      </c>
      <c r="X122" s="271"/>
      <c r="Y122" s="203" t="str">
        <f t="shared" si="58"/>
        <v>0</v>
      </c>
      <c r="Z122" s="204" t="str">
        <f t="shared" si="55"/>
        <v/>
      </c>
      <c r="AA122" s="205" t="str">
        <f t="shared" si="56"/>
        <v/>
      </c>
      <c r="AO122" s="61" t="s">
        <v>1224</v>
      </c>
      <c r="AP122" s="143">
        <v>2</v>
      </c>
      <c r="AQ122" s="143"/>
      <c r="AR122" s="143"/>
      <c r="AS122" s="143"/>
      <c r="AT122" s="143">
        <v>2</v>
      </c>
      <c r="AU122" s="143" t="s">
        <v>806</v>
      </c>
      <c r="AV122" s="143" t="s">
        <v>14</v>
      </c>
      <c r="AW122" s="62">
        <f t="shared" ca="1" si="43"/>
        <v>0</v>
      </c>
      <c r="CC122" s="608" t="str">
        <f t="shared" si="65"/>
        <v/>
      </c>
      <c r="CD122" s="609"/>
      <c r="CE122" s="609"/>
      <c r="CF122" s="452" t="str">
        <f t="shared" si="66"/>
        <v/>
      </c>
      <c r="CG122" s="609" t="str">
        <f t="shared" si="67"/>
        <v/>
      </c>
      <c r="CH122" s="609"/>
      <c r="CI122" s="610"/>
      <c r="CJ122" s="608" t="str">
        <f t="shared" si="68"/>
        <v/>
      </c>
      <c r="CK122" s="609"/>
      <c r="CL122" s="609"/>
      <c r="CM122" s="609"/>
      <c r="CN122" s="459" t="str">
        <f t="shared" si="69"/>
        <v/>
      </c>
      <c r="CO122" s="452" t="str">
        <f t="shared" si="70"/>
        <v/>
      </c>
      <c r="CP122" s="609" t="str">
        <f t="shared" si="71"/>
        <v/>
      </c>
      <c r="CQ122" s="609"/>
      <c r="CR122" s="610"/>
    </row>
    <row r="123" spans="2:96" ht="14.25" customHeight="1" x14ac:dyDescent="0.25">
      <c r="B123" s="717" t="s">
        <v>1819</v>
      </c>
      <c r="C123" s="718"/>
      <c r="D123" s="429">
        <v>1</v>
      </c>
      <c r="E123" s="178"/>
      <c r="F123" s="429">
        <v>6</v>
      </c>
      <c r="G123" s="701" t="str">
        <f>IF(covenant1="Ordo Dracul","Genre","Unavailable")</f>
        <v>Unavailable</v>
      </c>
      <c r="H123" s="702"/>
      <c r="I123" s="257" t="str">
        <f>IF(E123=6,"Yes","No")</f>
        <v>No</v>
      </c>
      <c r="J123" s="258">
        <f t="shared" ref="J123:J125" si="72">IF(I123="Yes",1,0)</f>
        <v>0</v>
      </c>
      <c r="L123" s="712"/>
      <c r="M123" s="713"/>
      <c r="N123" s="714"/>
      <c r="O123" s="715"/>
      <c r="P123" s="715"/>
      <c r="Q123" s="716"/>
      <c r="R123" s="688"/>
      <c r="S123" s="689"/>
      <c r="T123" s="689"/>
      <c r="U123" s="690"/>
      <c r="V123" s="202"/>
      <c r="W123" s="34" t="str">
        <f t="shared" si="54"/>
        <v/>
      </c>
      <c r="X123" s="271"/>
      <c r="Y123" s="203" t="str">
        <f t="shared" si="58"/>
        <v>0</v>
      </c>
      <c r="Z123" s="204" t="str">
        <f t="shared" si="55"/>
        <v/>
      </c>
      <c r="AA123" s="205" t="str">
        <f t="shared" si="56"/>
        <v/>
      </c>
      <c r="AO123" s="61" t="s">
        <v>1225</v>
      </c>
      <c r="AP123" s="143">
        <v>3</v>
      </c>
      <c r="AQ123" s="143"/>
      <c r="AR123" s="143"/>
      <c r="AS123" s="143"/>
      <c r="AT123" s="143">
        <v>3</v>
      </c>
      <c r="AU123" s="143" t="s">
        <v>806</v>
      </c>
      <c r="AV123" s="143" t="s">
        <v>14</v>
      </c>
      <c r="AW123" s="62">
        <f t="shared" ca="1" si="43"/>
        <v>0</v>
      </c>
      <c r="CC123" s="608" t="str">
        <f t="shared" si="65"/>
        <v/>
      </c>
      <c r="CD123" s="609"/>
      <c r="CE123" s="609"/>
      <c r="CF123" s="452" t="str">
        <f t="shared" si="66"/>
        <v/>
      </c>
      <c r="CG123" s="609" t="str">
        <f t="shared" si="67"/>
        <v/>
      </c>
      <c r="CH123" s="609"/>
      <c r="CI123" s="610"/>
      <c r="CJ123" s="608" t="str">
        <f t="shared" si="68"/>
        <v/>
      </c>
      <c r="CK123" s="609"/>
      <c r="CL123" s="609"/>
      <c r="CM123" s="609"/>
      <c r="CN123" s="459" t="str">
        <f t="shared" si="69"/>
        <v/>
      </c>
      <c r="CO123" s="452" t="str">
        <f t="shared" si="70"/>
        <v/>
      </c>
      <c r="CP123" s="609" t="str">
        <f t="shared" si="71"/>
        <v/>
      </c>
      <c r="CQ123" s="609"/>
      <c r="CR123" s="610"/>
    </row>
    <row r="124" spans="2:96" ht="14.25" customHeight="1" x14ac:dyDescent="0.25">
      <c r="B124" s="699" t="s">
        <v>1820</v>
      </c>
      <c r="C124" s="700"/>
      <c r="D124" s="429">
        <v>2</v>
      </c>
      <c r="E124" s="178"/>
      <c r="F124" s="429">
        <v>12</v>
      </c>
      <c r="G124" s="701" t="str">
        <f>IF(covenant1="Ordo Dracul","Genre","Unavailable")</f>
        <v>Unavailable</v>
      </c>
      <c r="H124" s="702"/>
      <c r="I124" s="257" t="str">
        <f>IF(E124=12,"Yes","No")</f>
        <v>No</v>
      </c>
      <c r="J124" s="258">
        <f>IF(I124="Yes",1,0)</f>
        <v>0</v>
      </c>
      <c r="L124" s="712"/>
      <c r="M124" s="713"/>
      <c r="N124" s="714"/>
      <c r="O124" s="715"/>
      <c r="P124" s="715"/>
      <c r="Q124" s="716"/>
      <c r="R124" s="688"/>
      <c r="S124" s="689"/>
      <c r="T124" s="689"/>
      <c r="U124" s="690"/>
      <c r="V124" s="202"/>
      <c r="W124" s="34" t="str">
        <f t="shared" si="54"/>
        <v/>
      </c>
      <c r="X124" s="271"/>
      <c r="Y124" s="203" t="str">
        <f t="shared" si="58"/>
        <v>0</v>
      </c>
      <c r="Z124" s="204" t="str">
        <f t="shared" si="55"/>
        <v/>
      </c>
      <c r="AA124" s="205" t="str">
        <f t="shared" si="56"/>
        <v/>
      </c>
      <c r="AO124" s="61" t="s">
        <v>1226</v>
      </c>
      <c r="AP124" s="143">
        <v>4</v>
      </c>
      <c r="AQ124" s="143"/>
      <c r="AR124" s="143"/>
      <c r="AS124" s="143"/>
      <c r="AT124" s="143">
        <v>4</v>
      </c>
      <c r="AU124" s="143" t="s">
        <v>806</v>
      </c>
      <c r="AV124" s="143" t="s">
        <v>14</v>
      </c>
      <c r="AW124" s="62">
        <f t="shared" ca="1" si="43"/>
        <v>0</v>
      </c>
      <c r="CC124" s="608" t="str">
        <f t="shared" si="65"/>
        <v/>
      </c>
      <c r="CD124" s="609"/>
      <c r="CE124" s="609"/>
      <c r="CF124" s="452" t="str">
        <f t="shared" si="66"/>
        <v/>
      </c>
      <c r="CG124" s="609" t="str">
        <f t="shared" si="67"/>
        <v/>
      </c>
      <c r="CH124" s="609"/>
      <c r="CI124" s="610"/>
      <c r="CJ124" s="608" t="str">
        <f t="shared" si="68"/>
        <v/>
      </c>
      <c r="CK124" s="609"/>
      <c r="CL124" s="609"/>
      <c r="CM124" s="609"/>
      <c r="CN124" s="459" t="str">
        <f t="shared" si="69"/>
        <v/>
      </c>
      <c r="CO124" s="452" t="str">
        <f t="shared" si="70"/>
        <v/>
      </c>
      <c r="CP124" s="609" t="str">
        <f t="shared" si="71"/>
        <v/>
      </c>
      <c r="CQ124" s="609"/>
      <c r="CR124" s="610"/>
    </row>
    <row r="125" spans="2:96" ht="14.25" customHeight="1" x14ac:dyDescent="0.25">
      <c r="B125" s="699" t="s">
        <v>1821</v>
      </c>
      <c r="C125" s="700"/>
      <c r="D125" s="429">
        <v>3</v>
      </c>
      <c r="E125" s="178"/>
      <c r="F125" s="429">
        <v>18</v>
      </c>
      <c r="G125" s="701" t="str">
        <f>IF(covenant1="Ordo Dracul","Genre","Unavailable")</f>
        <v>Unavailable</v>
      </c>
      <c r="H125" s="702"/>
      <c r="I125" s="257" t="str">
        <f>IF(E125=18,"Yes","No")</f>
        <v>No</v>
      </c>
      <c r="J125" s="258">
        <f t="shared" si="72"/>
        <v>0</v>
      </c>
      <c r="L125" s="712"/>
      <c r="M125" s="713"/>
      <c r="N125" s="714"/>
      <c r="O125" s="715"/>
      <c r="P125" s="715"/>
      <c r="Q125" s="716"/>
      <c r="R125" s="688"/>
      <c r="S125" s="689"/>
      <c r="T125" s="689"/>
      <c r="U125" s="690"/>
      <c r="V125" s="202"/>
      <c r="W125" s="34" t="str">
        <f t="shared" si="54"/>
        <v/>
      </c>
      <c r="X125" s="271"/>
      <c r="Y125" s="203" t="str">
        <f t="shared" si="58"/>
        <v>0</v>
      </c>
      <c r="Z125" s="204" t="str">
        <f t="shared" si="55"/>
        <v/>
      </c>
      <c r="AA125" s="205" t="str">
        <f t="shared" si="56"/>
        <v/>
      </c>
      <c r="AO125" s="61" t="s">
        <v>1227</v>
      </c>
      <c r="AP125" s="143">
        <v>3</v>
      </c>
      <c r="AQ125" s="143"/>
      <c r="AR125" s="143"/>
      <c r="AS125" s="143"/>
      <c r="AT125" s="143">
        <v>3</v>
      </c>
      <c r="AU125" s="143" t="s">
        <v>806</v>
      </c>
      <c r="AV125" s="143" t="s">
        <v>14</v>
      </c>
      <c r="AW125" s="62">
        <f t="shared" ca="1" si="43"/>
        <v>0</v>
      </c>
      <c r="CC125" s="608" t="str">
        <f t="shared" si="65"/>
        <v/>
      </c>
      <c r="CD125" s="609"/>
      <c r="CE125" s="609"/>
      <c r="CF125" s="452" t="str">
        <f t="shared" si="66"/>
        <v/>
      </c>
      <c r="CG125" s="609" t="str">
        <f t="shared" si="67"/>
        <v/>
      </c>
      <c r="CH125" s="609"/>
      <c r="CI125" s="610"/>
      <c r="CJ125" s="608" t="str">
        <f t="shared" si="68"/>
        <v/>
      </c>
      <c r="CK125" s="609"/>
      <c r="CL125" s="609"/>
      <c r="CM125" s="609"/>
      <c r="CN125" s="459" t="str">
        <f t="shared" si="69"/>
        <v/>
      </c>
      <c r="CO125" s="452" t="str">
        <f t="shared" si="70"/>
        <v/>
      </c>
      <c r="CP125" s="609" t="str">
        <f t="shared" si="71"/>
        <v/>
      </c>
      <c r="CQ125" s="609"/>
      <c r="CR125" s="610"/>
    </row>
    <row r="126" spans="2:96" ht="14.25" customHeight="1" thickBot="1" x14ac:dyDescent="0.3">
      <c r="B126" s="48"/>
      <c r="C126" s="49"/>
      <c r="D126" s="49"/>
      <c r="E126" s="49"/>
      <c r="F126" s="49"/>
      <c r="G126" s="49"/>
      <c r="H126" s="135"/>
      <c r="L126" s="712"/>
      <c r="M126" s="713"/>
      <c r="N126" s="714"/>
      <c r="O126" s="715"/>
      <c r="P126" s="715"/>
      <c r="Q126" s="716"/>
      <c r="R126" s="688"/>
      <c r="S126" s="689"/>
      <c r="T126" s="689"/>
      <c r="U126" s="690"/>
      <c r="V126" s="202"/>
      <c r="W126" s="34" t="str">
        <f t="shared" si="54"/>
        <v/>
      </c>
      <c r="X126" s="271"/>
      <c r="Y126" s="203" t="str">
        <f t="shared" si="58"/>
        <v>0</v>
      </c>
      <c r="Z126" s="204" t="str">
        <f t="shared" si="55"/>
        <v/>
      </c>
      <c r="AA126" s="205" t="str">
        <f t="shared" si="56"/>
        <v/>
      </c>
      <c r="AO126" s="61" t="s">
        <v>1228</v>
      </c>
      <c r="AP126" s="143">
        <v>1</v>
      </c>
      <c r="AQ126" s="143"/>
      <c r="AR126" s="143"/>
      <c r="AS126" s="143"/>
      <c r="AT126" s="143">
        <v>1</v>
      </c>
      <c r="AU126" s="143" t="str">
        <f>IF(dexterity&gt;2,"Yes","No")</f>
        <v>No</v>
      </c>
      <c r="AV126" s="143" t="s">
        <v>14</v>
      </c>
      <c r="AW126" s="62">
        <f t="shared" ca="1" si="43"/>
        <v>0</v>
      </c>
      <c r="CC126" s="608" t="str">
        <f t="shared" si="65"/>
        <v/>
      </c>
      <c r="CD126" s="609"/>
      <c r="CE126" s="609"/>
      <c r="CF126" s="452" t="str">
        <f t="shared" si="66"/>
        <v/>
      </c>
      <c r="CG126" s="609" t="str">
        <f t="shared" si="67"/>
        <v/>
      </c>
      <c r="CH126" s="609"/>
      <c r="CI126" s="610"/>
      <c r="CJ126" s="608" t="str">
        <f t="shared" si="68"/>
        <v/>
      </c>
      <c r="CK126" s="609"/>
      <c r="CL126" s="609"/>
      <c r="CM126" s="609"/>
      <c r="CN126" s="459" t="str">
        <f t="shared" si="69"/>
        <v/>
      </c>
      <c r="CO126" s="452" t="str">
        <f t="shared" si="70"/>
        <v/>
      </c>
      <c r="CP126" s="609" t="str">
        <f t="shared" si="71"/>
        <v/>
      </c>
      <c r="CQ126" s="609"/>
      <c r="CR126" s="610"/>
    </row>
    <row r="127" spans="2:96" ht="14.25" customHeight="1" thickTop="1" thickBot="1" x14ac:dyDescent="0.3">
      <c r="J127" s="258">
        <f t="shared" ref="J127:J129" si="73">IF(I127="Yes",1,0)</f>
        <v>0</v>
      </c>
      <c r="L127" s="712"/>
      <c r="M127" s="713"/>
      <c r="N127" s="714"/>
      <c r="O127" s="715"/>
      <c r="P127" s="715"/>
      <c r="Q127" s="716"/>
      <c r="R127" s="688"/>
      <c r="S127" s="689"/>
      <c r="T127" s="689"/>
      <c r="U127" s="690"/>
      <c r="V127" s="202"/>
      <c r="W127" s="34" t="str">
        <f t="shared" si="54"/>
        <v/>
      </c>
      <c r="X127" s="271"/>
      <c r="Y127" s="203" t="str">
        <f t="shared" si="58"/>
        <v>0</v>
      </c>
      <c r="Z127" s="204" t="str">
        <f t="shared" si="55"/>
        <v/>
      </c>
      <c r="AA127" s="205" t="str">
        <f t="shared" si="56"/>
        <v/>
      </c>
      <c r="AO127" s="61" t="s">
        <v>1229</v>
      </c>
      <c r="AP127" s="143">
        <v>4</v>
      </c>
      <c r="AQ127" s="143"/>
      <c r="AR127" s="143"/>
      <c r="AS127" s="143"/>
      <c r="AT127" s="143">
        <v>4</v>
      </c>
      <c r="AU127" s="143" t="str">
        <f>IF(stamina&gt;3,"Yes","No")</f>
        <v>No</v>
      </c>
      <c r="AV127" s="143" t="s">
        <v>14</v>
      </c>
      <c r="AW127" s="62">
        <f t="shared" ca="1" si="43"/>
        <v>0</v>
      </c>
      <c r="CC127" s="608" t="str">
        <f t="shared" si="65"/>
        <v/>
      </c>
      <c r="CD127" s="609"/>
      <c r="CE127" s="609"/>
      <c r="CF127" s="452" t="str">
        <f t="shared" si="66"/>
        <v/>
      </c>
      <c r="CG127" s="609" t="str">
        <f t="shared" si="67"/>
        <v/>
      </c>
      <c r="CH127" s="609"/>
      <c r="CI127" s="610"/>
      <c r="CJ127" s="608" t="str">
        <f t="shared" si="68"/>
        <v/>
      </c>
      <c r="CK127" s="609"/>
      <c r="CL127" s="609"/>
      <c r="CM127" s="609"/>
      <c r="CN127" s="459" t="str">
        <f t="shared" si="69"/>
        <v/>
      </c>
      <c r="CO127" s="452" t="str">
        <f t="shared" si="70"/>
        <v/>
      </c>
      <c r="CP127" s="609" t="str">
        <f t="shared" si="71"/>
        <v/>
      </c>
      <c r="CQ127" s="609"/>
      <c r="CR127" s="610"/>
    </row>
    <row r="128" spans="2:96" ht="14.25" customHeight="1" thickTop="1" x14ac:dyDescent="0.25">
      <c r="B128" s="843" t="s">
        <v>1107</v>
      </c>
      <c r="C128" s="844"/>
      <c r="D128" s="844"/>
      <c r="E128" s="279"/>
      <c r="F128" s="279"/>
      <c r="G128" s="279"/>
      <c r="H128" s="279"/>
      <c r="I128" s="280"/>
      <c r="J128" s="258">
        <f t="shared" si="73"/>
        <v>0</v>
      </c>
      <c r="L128" s="712"/>
      <c r="M128" s="713"/>
      <c r="N128" s="714"/>
      <c r="O128" s="715"/>
      <c r="P128" s="715"/>
      <c r="Q128" s="716"/>
      <c r="R128" s="688"/>
      <c r="S128" s="689"/>
      <c r="T128" s="689"/>
      <c r="U128" s="690"/>
      <c r="V128" s="202"/>
      <c r="W128" s="34" t="str">
        <f t="shared" si="54"/>
        <v/>
      </c>
      <c r="X128" s="271"/>
      <c r="Y128" s="203" t="str">
        <f t="shared" si="58"/>
        <v>0</v>
      </c>
      <c r="Z128" s="204" t="str">
        <f t="shared" si="55"/>
        <v/>
      </c>
      <c r="AA128" s="205" t="str">
        <f t="shared" si="56"/>
        <v/>
      </c>
      <c r="AO128" s="61" t="s">
        <v>2249</v>
      </c>
      <c r="AP128" s="143" t="s">
        <v>1151</v>
      </c>
      <c r="AQ128" s="143"/>
      <c r="AR128" s="143"/>
      <c r="AS128" s="143"/>
      <c r="AT128" s="143">
        <v>3</v>
      </c>
      <c r="AU128" s="143" t="str">
        <f>IF(BP&gt;3,"Yes","No")</f>
        <v>No</v>
      </c>
      <c r="AV128" s="143" t="s">
        <v>14</v>
      </c>
      <c r="AW128" s="62">
        <f t="shared" ca="1" si="43"/>
        <v>0</v>
      </c>
      <c r="CC128" s="608" t="str">
        <f t="shared" si="65"/>
        <v/>
      </c>
      <c r="CD128" s="609"/>
      <c r="CE128" s="609"/>
      <c r="CF128" s="452" t="str">
        <f t="shared" si="66"/>
        <v/>
      </c>
      <c r="CG128" s="609" t="str">
        <f t="shared" si="67"/>
        <v/>
      </c>
      <c r="CH128" s="609"/>
      <c r="CI128" s="610"/>
      <c r="CJ128" s="608" t="str">
        <f t="shared" si="68"/>
        <v/>
      </c>
      <c r="CK128" s="609"/>
      <c r="CL128" s="609"/>
      <c r="CM128" s="609"/>
      <c r="CN128" s="459" t="str">
        <f t="shared" si="69"/>
        <v/>
      </c>
      <c r="CO128" s="452" t="str">
        <f t="shared" si="70"/>
        <v/>
      </c>
      <c r="CP128" s="609" t="str">
        <f t="shared" si="71"/>
        <v/>
      </c>
      <c r="CQ128" s="609"/>
      <c r="CR128" s="610"/>
    </row>
    <row r="129" spans="2:96" ht="14.25" customHeight="1" x14ac:dyDescent="0.25">
      <c r="B129" s="845"/>
      <c r="C129" s="846"/>
      <c r="D129" s="847"/>
      <c r="E129" s="281"/>
      <c r="F129" s="281"/>
      <c r="G129" s="281"/>
      <c r="H129" s="282"/>
      <c r="I129" s="283"/>
      <c r="J129" s="258">
        <f t="shared" si="73"/>
        <v>0</v>
      </c>
      <c r="L129" s="712"/>
      <c r="M129" s="713"/>
      <c r="N129" s="714"/>
      <c r="O129" s="715"/>
      <c r="P129" s="715"/>
      <c r="Q129" s="716"/>
      <c r="R129" s="688"/>
      <c r="S129" s="689"/>
      <c r="T129" s="689"/>
      <c r="U129" s="690"/>
      <c r="V129" s="202"/>
      <c r="W129" s="34" t="str">
        <f t="shared" si="54"/>
        <v/>
      </c>
      <c r="X129" s="271"/>
      <c r="Y129" s="203" t="str">
        <f t="shared" si="58"/>
        <v>0</v>
      </c>
      <c r="Z129" s="204" t="str">
        <f t="shared" si="55"/>
        <v/>
      </c>
      <c r="AA129" s="205" t="str">
        <f t="shared" si="56"/>
        <v/>
      </c>
      <c r="AO129" s="61" t="s">
        <v>1230</v>
      </c>
      <c r="AP129" s="143" t="s">
        <v>1151</v>
      </c>
      <c r="AQ129" s="143"/>
      <c r="AR129" s="143"/>
      <c r="AS129" s="143" t="str">
        <f>IF(covenant1="Invictus","Yes","")</f>
        <v/>
      </c>
      <c r="AT129" s="143">
        <v>5</v>
      </c>
      <c r="AU129" s="143" t="s">
        <v>806</v>
      </c>
      <c r="AV129" s="143" t="s">
        <v>14</v>
      </c>
      <c r="AW129" s="62">
        <f t="shared" ca="1" si="43"/>
        <v>0</v>
      </c>
      <c r="CC129" s="608" t="str">
        <f t="shared" si="65"/>
        <v/>
      </c>
      <c r="CD129" s="609"/>
      <c r="CE129" s="609"/>
      <c r="CF129" s="452" t="str">
        <f t="shared" si="66"/>
        <v/>
      </c>
      <c r="CG129" s="609" t="str">
        <f t="shared" si="67"/>
        <v/>
      </c>
      <c r="CH129" s="609"/>
      <c r="CI129" s="610"/>
      <c r="CJ129" s="608" t="str">
        <f t="shared" si="68"/>
        <v/>
      </c>
      <c r="CK129" s="609"/>
      <c r="CL129" s="609"/>
      <c r="CM129" s="609"/>
      <c r="CN129" s="459" t="str">
        <f t="shared" si="69"/>
        <v/>
      </c>
      <c r="CO129" s="452" t="str">
        <f t="shared" si="70"/>
        <v/>
      </c>
      <c r="CP129" s="609" t="str">
        <f t="shared" si="71"/>
        <v/>
      </c>
      <c r="CQ129" s="609"/>
      <c r="CR129" s="610"/>
    </row>
    <row r="130" spans="2:96" ht="14.25" customHeight="1" x14ac:dyDescent="0.25">
      <c r="B130" s="744" t="s">
        <v>740</v>
      </c>
      <c r="C130" s="830"/>
      <c r="D130" s="830"/>
      <c r="E130" s="830"/>
      <c r="F130" s="745"/>
      <c r="G130" s="284" t="s">
        <v>8</v>
      </c>
      <c r="H130" s="831" t="s">
        <v>6</v>
      </c>
      <c r="I130" s="832"/>
      <c r="J130" s="560">
        <f>SUM(J98:J129)</f>
        <v>0</v>
      </c>
      <c r="L130" s="712"/>
      <c r="M130" s="713"/>
      <c r="N130" s="714"/>
      <c r="O130" s="715"/>
      <c r="P130" s="715"/>
      <c r="Q130" s="716"/>
      <c r="R130" s="688"/>
      <c r="S130" s="689"/>
      <c r="T130" s="689"/>
      <c r="U130" s="690"/>
      <c r="V130" s="202"/>
      <c r="W130" s="34" t="str">
        <f t="shared" si="54"/>
        <v/>
      </c>
      <c r="X130" s="271"/>
      <c r="Y130" s="203" t="str">
        <f t="shared" si="58"/>
        <v>0</v>
      </c>
      <c r="Z130" s="204" t="str">
        <f t="shared" si="55"/>
        <v/>
      </c>
      <c r="AA130" s="205" t="str">
        <f t="shared" si="56"/>
        <v/>
      </c>
      <c r="AO130" s="61" t="s">
        <v>1231</v>
      </c>
      <c r="AP130" s="143" t="s">
        <v>1151</v>
      </c>
      <c r="AQ130" s="143"/>
      <c r="AR130" s="143"/>
      <c r="AS130" s="143" t="str">
        <f>IF(covenant1="Invictus","Yes","")</f>
        <v/>
      </c>
      <c r="AT130" s="143">
        <v>5</v>
      </c>
      <c r="AU130" s="143" t="s">
        <v>806</v>
      </c>
      <c r="AV130" s="143" t="s">
        <v>14</v>
      </c>
      <c r="AW130" s="62">
        <f t="shared" ca="1" si="43"/>
        <v>0</v>
      </c>
      <c r="CC130" s="608" t="str">
        <f t="shared" si="65"/>
        <v/>
      </c>
      <c r="CD130" s="609"/>
      <c r="CE130" s="609"/>
      <c r="CF130" s="452" t="str">
        <f t="shared" si="66"/>
        <v/>
      </c>
      <c r="CG130" s="609" t="str">
        <f t="shared" si="67"/>
        <v/>
      </c>
      <c r="CH130" s="609"/>
      <c r="CI130" s="610"/>
      <c r="CJ130" s="608" t="str">
        <f t="shared" si="68"/>
        <v/>
      </c>
      <c r="CK130" s="609"/>
      <c r="CL130" s="609"/>
      <c r="CM130" s="609"/>
      <c r="CN130" s="459" t="str">
        <f t="shared" si="69"/>
        <v/>
      </c>
      <c r="CO130" s="452" t="str">
        <f t="shared" si="70"/>
        <v/>
      </c>
      <c r="CP130" s="609" t="str">
        <f t="shared" si="71"/>
        <v/>
      </c>
      <c r="CQ130" s="609"/>
      <c r="CR130" s="610"/>
    </row>
    <row r="131" spans="2:96" ht="14.25" customHeight="1" x14ac:dyDescent="0.25">
      <c r="B131" s="641"/>
      <c r="C131" s="642"/>
      <c r="D131" s="642"/>
      <c r="E131" s="642"/>
      <c r="F131" s="643"/>
      <c r="G131" s="285" t="str">
        <f t="shared" ref="G131:G171" si="74">IFERROR(VLOOKUP(B131,DevotionChart,8,FALSE),"0")</f>
        <v>0</v>
      </c>
      <c r="H131" s="644" t="str">
        <f t="shared" ref="H131:H171" si="75">IFERROR(VLOOKUP(B131,DevotionChart,6,FALSE),"")</f>
        <v/>
      </c>
      <c r="I131" s="645"/>
      <c r="L131" s="712"/>
      <c r="M131" s="713"/>
      <c r="N131" s="714"/>
      <c r="O131" s="715"/>
      <c r="P131" s="715"/>
      <c r="Q131" s="716"/>
      <c r="R131" s="688"/>
      <c r="S131" s="689"/>
      <c r="T131" s="689"/>
      <c r="U131" s="690"/>
      <c r="V131" s="202"/>
      <c r="W131" s="34" t="str">
        <f t="shared" si="54"/>
        <v/>
      </c>
      <c r="X131" s="271"/>
      <c r="Y131" s="203" t="str">
        <f t="shared" si="58"/>
        <v>0</v>
      </c>
      <c r="Z131" s="204" t="str">
        <f t="shared" si="55"/>
        <v/>
      </c>
      <c r="AA131" s="205" t="str">
        <f t="shared" si="56"/>
        <v/>
      </c>
      <c r="AO131" s="61" t="s">
        <v>2250</v>
      </c>
      <c r="AP131" s="143">
        <v>3</v>
      </c>
      <c r="AQ131" s="143"/>
      <c r="AR131" s="143"/>
      <c r="AS131" s="143"/>
      <c r="AT131" s="143">
        <v>3</v>
      </c>
      <c r="AU131" s="143" t="str">
        <f>IF(AND(clan1="Gangrel",animalism&gt;0),"Yes","No")</f>
        <v>No</v>
      </c>
      <c r="AV131" s="143" t="s">
        <v>14</v>
      </c>
      <c r="AW131" s="62">
        <f t="shared" ca="1" si="43"/>
        <v>0</v>
      </c>
      <c r="CC131" s="608" t="str">
        <f t="shared" si="65"/>
        <v/>
      </c>
      <c r="CD131" s="609"/>
      <c r="CE131" s="609"/>
      <c r="CF131" s="452" t="str">
        <f t="shared" si="66"/>
        <v/>
      </c>
      <c r="CG131" s="609" t="str">
        <f t="shared" si="67"/>
        <v/>
      </c>
      <c r="CH131" s="609"/>
      <c r="CI131" s="610"/>
      <c r="CJ131" s="608" t="str">
        <f t="shared" si="68"/>
        <v/>
      </c>
      <c r="CK131" s="609"/>
      <c r="CL131" s="609"/>
      <c r="CM131" s="609"/>
      <c r="CN131" s="459" t="str">
        <f t="shared" si="69"/>
        <v/>
      </c>
      <c r="CO131" s="452" t="str">
        <f t="shared" si="70"/>
        <v/>
      </c>
      <c r="CP131" s="609" t="str">
        <f t="shared" si="71"/>
        <v/>
      </c>
      <c r="CQ131" s="609"/>
      <c r="CR131" s="610"/>
    </row>
    <row r="132" spans="2:96" ht="14.25" customHeight="1" x14ac:dyDescent="0.25">
      <c r="B132" s="641"/>
      <c r="C132" s="642"/>
      <c r="D132" s="642"/>
      <c r="E132" s="642"/>
      <c r="F132" s="643"/>
      <c r="G132" s="285" t="str">
        <f t="shared" si="74"/>
        <v>0</v>
      </c>
      <c r="H132" s="644" t="str">
        <f t="shared" si="75"/>
        <v/>
      </c>
      <c r="I132" s="645"/>
      <c r="L132" s="712"/>
      <c r="M132" s="713"/>
      <c r="N132" s="714"/>
      <c r="O132" s="715"/>
      <c r="P132" s="715"/>
      <c r="Q132" s="716"/>
      <c r="R132" s="688"/>
      <c r="S132" s="689"/>
      <c r="T132" s="689"/>
      <c r="U132" s="690"/>
      <c r="V132" s="202"/>
      <c r="W132" s="34" t="str">
        <f t="shared" si="54"/>
        <v/>
      </c>
      <c r="X132" s="271"/>
      <c r="Y132" s="203" t="str">
        <f t="shared" si="58"/>
        <v>0</v>
      </c>
      <c r="Z132" s="204" t="str">
        <f t="shared" si="55"/>
        <v/>
      </c>
      <c r="AA132" s="205" t="str">
        <f t="shared" si="56"/>
        <v/>
      </c>
      <c r="AO132" s="61" t="s">
        <v>2267</v>
      </c>
      <c r="AP132" s="143">
        <v>3</v>
      </c>
      <c r="AQ132" s="143"/>
      <c r="AR132" s="143"/>
      <c r="AS132" s="143"/>
      <c r="AT132" s="143">
        <v>3</v>
      </c>
      <c r="AU132" s="143" t="s">
        <v>806</v>
      </c>
      <c r="AV132" s="143" t="s">
        <v>2265</v>
      </c>
      <c r="AW132" s="62">
        <f t="shared" ca="1" si="43"/>
        <v>0</v>
      </c>
      <c r="CC132" s="608" t="str">
        <f t="shared" si="65"/>
        <v/>
      </c>
      <c r="CD132" s="609"/>
      <c r="CE132" s="609"/>
      <c r="CF132" s="452" t="str">
        <f t="shared" si="66"/>
        <v/>
      </c>
      <c r="CG132" s="609" t="str">
        <f t="shared" si="67"/>
        <v/>
      </c>
      <c r="CH132" s="609"/>
      <c r="CI132" s="610"/>
      <c r="CJ132" s="608" t="str">
        <f t="shared" si="68"/>
        <v/>
      </c>
      <c r="CK132" s="609"/>
      <c r="CL132" s="609"/>
      <c r="CM132" s="609"/>
      <c r="CN132" s="459" t="str">
        <f t="shared" si="69"/>
        <v/>
      </c>
      <c r="CO132" s="452" t="str">
        <f t="shared" si="70"/>
        <v/>
      </c>
      <c r="CP132" s="609" t="str">
        <f t="shared" si="71"/>
        <v/>
      </c>
      <c r="CQ132" s="609"/>
      <c r="CR132" s="610"/>
    </row>
    <row r="133" spans="2:96" ht="14.25" customHeight="1" x14ac:dyDescent="0.25">
      <c r="B133" s="641"/>
      <c r="C133" s="642"/>
      <c r="D133" s="642"/>
      <c r="E133" s="642"/>
      <c r="F133" s="643"/>
      <c r="G133" s="285" t="str">
        <f t="shared" si="74"/>
        <v>0</v>
      </c>
      <c r="H133" s="644" t="str">
        <f t="shared" si="75"/>
        <v/>
      </c>
      <c r="I133" s="645"/>
      <c r="L133" s="712"/>
      <c r="M133" s="713"/>
      <c r="N133" s="714"/>
      <c r="O133" s="715"/>
      <c r="P133" s="715"/>
      <c r="Q133" s="716"/>
      <c r="R133" s="688"/>
      <c r="S133" s="689"/>
      <c r="T133" s="689"/>
      <c r="U133" s="690"/>
      <c r="V133" s="202"/>
      <c r="W133" s="34" t="str">
        <f t="shared" si="54"/>
        <v/>
      </c>
      <c r="X133" s="271"/>
      <c r="Y133" s="203" t="str">
        <f t="shared" si="58"/>
        <v>0</v>
      </c>
      <c r="Z133" s="204" t="str">
        <f t="shared" si="55"/>
        <v/>
      </c>
      <c r="AA133" s="205" t="str">
        <f t="shared" si="56"/>
        <v/>
      </c>
      <c r="AO133" s="61" t="s">
        <v>2266</v>
      </c>
      <c r="AP133" s="143">
        <v>2</v>
      </c>
      <c r="AQ133" s="143"/>
      <c r="AR133" s="143"/>
      <c r="AS133" s="143"/>
      <c r="AT133" s="143">
        <v>2</v>
      </c>
      <c r="AU133" s="143" t="s">
        <v>806</v>
      </c>
      <c r="AV133" s="143" t="s">
        <v>2265</v>
      </c>
      <c r="AW133" s="62">
        <f t="shared" ca="1" si="43"/>
        <v>0</v>
      </c>
      <c r="CC133" s="608" t="str">
        <f t="shared" si="65"/>
        <v/>
      </c>
      <c r="CD133" s="609"/>
      <c r="CE133" s="609"/>
      <c r="CF133" s="452" t="str">
        <f t="shared" si="66"/>
        <v/>
      </c>
      <c r="CG133" s="609" t="str">
        <f t="shared" si="67"/>
        <v/>
      </c>
      <c r="CH133" s="609"/>
      <c r="CI133" s="610"/>
      <c r="CJ133" s="608" t="str">
        <f t="shared" si="68"/>
        <v/>
      </c>
      <c r="CK133" s="609"/>
      <c r="CL133" s="609"/>
      <c r="CM133" s="609"/>
      <c r="CN133" s="459" t="str">
        <f t="shared" si="69"/>
        <v/>
      </c>
      <c r="CO133" s="452" t="str">
        <f t="shared" si="70"/>
        <v/>
      </c>
      <c r="CP133" s="609" t="str">
        <f t="shared" si="71"/>
        <v/>
      </c>
      <c r="CQ133" s="609"/>
      <c r="CR133" s="610"/>
    </row>
    <row r="134" spans="2:96" ht="14.25" customHeight="1" thickBot="1" x14ac:dyDescent="0.3">
      <c r="B134" s="641"/>
      <c r="C134" s="642"/>
      <c r="D134" s="642"/>
      <c r="E134" s="642"/>
      <c r="F134" s="643"/>
      <c r="G134" s="285" t="str">
        <f t="shared" si="74"/>
        <v>0</v>
      </c>
      <c r="H134" s="644" t="str">
        <f t="shared" si="75"/>
        <v/>
      </c>
      <c r="I134" s="645"/>
      <c r="L134" s="206"/>
      <c r="M134" s="207"/>
      <c r="N134" s="208"/>
      <c r="O134" s="208"/>
      <c r="P134" s="208"/>
      <c r="Q134" s="208"/>
      <c r="R134" s="208"/>
      <c r="S134" s="737" t="s">
        <v>1355</v>
      </c>
      <c r="T134" s="737"/>
      <c r="U134" s="737"/>
      <c r="V134" s="737"/>
      <c r="W134" s="737"/>
      <c r="X134" s="50">
        <f>(theban+cruac)-SUM(X88:X133)</f>
        <v>0</v>
      </c>
      <c r="Y134" s="207"/>
      <c r="Z134" s="209"/>
      <c r="AA134" s="210"/>
      <c r="AO134" s="61" t="s">
        <v>2262</v>
      </c>
      <c r="AP134" s="143" t="s">
        <v>1151</v>
      </c>
      <c r="AQ134" s="143"/>
      <c r="AR134" s="143"/>
      <c r="AS134" s="143"/>
      <c r="AT134" s="143">
        <v>5</v>
      </c>
      <c r="AU134" s="143" t="str">
        <f>IF(OR(clan1="Mekhet",clan1="Daeva"),"Yes","No")</f>
        <v>No</v>
      </c>
      <c r="AV134" s="143" t="s">
        <v>32</v>
      </c>
      <c r="AW134" s="62">
        <f t="shared" ref="AW134:AW176" ca="1" si="76">SUMIF($B$46:$C$90,AO134,$D$46:$D$90)</f>
        <v>0</v>
      </c>
      <c r="CC134" s="608" t="str">
        <f t="shared" si="65"/>
        <v/>
      </c>
      <c r="CD134" s="609"/>
      <c r="CE134" s="609"/>
      <c r="CF134" s="452" t="str">
        <f t="shared" si="66"/>
        <v/>
      </c>
      <c r="CG134" s="609" t="str">
        <f t="shared" si="67"/>
        <v/>
      </c>
      <c r="CH134" s="609"/>
      <c r="CI134" s="610"/>
      <c r="CJ134" s="608" t="str">
        <f t="shared" si="68"/>
        <v/>
      </c>
      <c r="CK134" s="609"/>
      <c r="CL134" s="609"/>
      <c r="CM134" s="609"/>
      <c r="CN134" s="459" t="str">
        <f t="shared" si="69"/>
        <v/>
      </c>
      <c r="CO134" s="452" t="str">
        <f t="shared" si="70"/>
        <v/>
      </c>
      <c r="CP134" s="609" t="str">
        <f t="shared" si="71"/>
        <v/>
      </c>
      <c r="CQ134" s="609"/>
      <c r="CR134" s="610"/>
    </row>
    <row r="135" spans="2:96" ht="14.25" customHeight="1" thickTop="1" thickBot="1" x14ac:dyDescent="0.3">
      <c r="B135" s="641"/>
      <c r="C135" s="642"/>
      <c r="D135" s="642"/>
      <c r="E135" s="642"/>
      <c r="F135" s="643"/>
      <c r="G135" s="285" t="str">
        <f t="shared" si="74"/>
        <v>0</v>
      </c>
      <c r="H135" s="644" t="str">
        <f t="shared" si="75"/>
        <v/>
      </c>
      <c r="I135" s="645"/>
      <c r="AO135" s="61" t="s">
        <v>1232</v>
      </c>
      <c r="AP135" s="143">
        <v>1</v>
      </c>
      <c r="AQ135" s="143"/>
      <c r="AR135" s="143"/>
      <c r="AS135" s="143"/>
      <c r="AT135" s="143">
        <v>1</v>
      </c>
      <c r="AU135" s="143" t="s">
        <v>806</v>
      </c>
      <c r="AV135" s="143" t="s">
        <v>14</v>
      </c>
      <c r="AW135" s="62">
        <f t="shared" ca="1" si="76"/>
        <v>0</v>
      </c>
      <c r="CC135" s="608" t="str">
        <f t="shared" si="65"/>
        <v/>
      </c>
      <c r="CD135" s="609"/>
      <c r="CE135" s="609"/>
      <c r="CF135" s="452" t="str">
        <f t="shared" si="66"/>
        <v/>
      </c>
      <c r="CG135" s="609" t="str">
        <f t="shared" si="67"/>
        <v/>
      </c>
      <c r="CH135" s="609"/>
      <c r="CI135" s="610"/>
      <c r="CJ135" s="608" t="str">
        <f t="shared" si="68"/>
        <v/>
      </c>
      <c r="CK135" s="609"/>
      <c r="CL135" s="609"/>
      <c r="CM135" s="609"/>
      <c r="CN135" s="459" t="str">
        <f t="shared" si="69"/>
        <v/>
      </c>
      <c r="CO135" s="452" t="str">
        <f t="shared" si="70"/>
        <v/>
      </c>
      <c r="CP135" s="609" t="str">
        <f t="shared" si="71"/>
        <v/>
      </c>
      <c r="CQ135" s="609"/>
      <c r="CR135" s="610"/>
    </row>
    <row r="136" spans="2:96" ht="14.25" customHeight="1" thickTop="1" x14ac:dyDescent="0.25">
      <c r="B136" s="641"/>
      <c r="C136" s="642"/>
      <c r="D136" s="642"/>
      <c r="E136" s="642"/>
      <c r="F136" s="643"/>
      <c r="G136" s="285" t="str">
        <f t="shared" si="74"/>
        <v>0</v>
      </c>
      <c r="H136" s="644" t="str">
        <f t="shared" si="75"/>
        <v/>
      </c>
      <c r="I136" s="645"/>
      <c r="L136" s="851" t="s">
        <v>1859</v>
      </c>
      <c r="M136" s="852"/>
      <c r="N136" s="852"/>
      <c r="O136" s="852"/>
      <c r="P136" s="852"/>
      <c r="Q136" s="287"/>
      <c r="R136" s="287"/>
      <c r="S136" s="287"/>
      <c r="T136" s="287"/>
      <c r="U136" s="287"/>
      <c r="V136" s="287"/>
      <c r="W136" s="287"/>
      <c r="X136" s="288"/>
      <c r="AO136" s="61" t="s">
        <v>1233</v>
      </c>
      <c r="AP136" s="143">
        <v>3</v>
      </c>
      <c r="AQ136" s="143"/>
      <c r="AR136" s="143"/>
      <c r="AS136" s="143"/>
      <c r="AT136" s="143">
        <v>3</v>
      </c>
      <c r="AU136" s="143" t="str">
        <f>IF(AND(manipulation&gt;2,persuasion&gt;2),"Yes","No")</f>
        <v>No</v>
      </c>
      <c r="AV136" s="143" t="s">
        <v>14</v>
      </c>
      <c r="AW136" s="62">
        <f t="shared" ca="1" si="76"/>
        <v>0</v>
      </c>
      <c r="CC136" s="608" t="str">
        <f t="shared" si="65"/>
        <v/>
      </c>
      <c r="CD136" s="609"/>
      <c r="CE136" s="609"/>
      <c r="CF136" s="452" t="str">
        <f t="shared" si="66"/>
        <v/>
      </c>
      <c r="CG136" s="609" t="str">
        <f t="shared" si="67"/>
        <v/>
      </c>
      <c r="CH136" s="609"/>
      <c r="CI136" s="610"/>
      <c r="CJ136" s="608" t="str">
        <f t="shared" si="68"/>
        <v/>
      </c>
      <c r="CK136" s="609"/>
      <c r="CL136" s="609"/>
      <c r="CM136" s="609"/>
      <c r="CN136" s="459" t="str">
        <f t="shared" si="69"/>
        <v/>
      </c>
      <c r="CO136" s="452" t="str">
        <f t="shared" si="70"/>
        <v/>
      </c>
      <c r="CP136" s="609" t="str">
        <f t="shared" si="71"/>
        <v/>
      </c>
      <c r="CQ136" s="609"/>
      <c r="CR136" s="610"/>
    </row>
    <row r="137" spans="2:96" ht="14.25" customHeight="1" x14ac:dyDescent="0.25">
      <c r="B137" s="641"/>
      <c r="C137" s="642"/>
      <c r="D137" s="642"/>
      <c r="E137" s="642"/>
      <c r="F137" s="643"/>
      <c r="G137" s="285" t="str">
        <f t="shared" si="74"/>
        <v>0</v>
      </c>
      <c r="H137" s="644" t="str">
        <f t="shared" si="75"/>
        <v/>
      </c>
      <c r="I137" s="645"/>
      <c r="L137" s="853"/>
      <c r="M137" s="854"/>
      <c r="N137" s="854"/>
      <c r="O137" s="854"/>
      <c r="P137" s="854"/>
      <c r="Q137" s="289"/>
      <c r="R137" s="289"/>
      <c r="S137" s="289"/>
      <c r="T137" s="289"/>
      <c r="U137" s="289"/>
      <c r="V137" s="289"/>
      <c r="W137" s="289"/>
      <c r="X137" s="290"/>
      <c r="AO137" s="61" t="s">
        <v>1257</v>
      </c>
      <c r="AP137" s="143" t="s">
        <v>1151</v>
      </c>
      <c r="AQ137" s="143"/>
      <c r="AR137" s="143"/>
      <c r="AS137" s="143"/>
      <c r="AT137" s="143">
        <v>3</v>
      </c>
      <c r="AU137" s="143" t="str">
        <f ca="1">IF(AND(clan1="Daeva",AW137&lt;=AW47),"Yes","No")</f>
        <v>No</v>
      </c>
      <c r="AV137" s="143" t="s">
        <v>14</v>
      </c>
      <c r="AW137" s="62">
        <f t="shared" ca="1" si="76"/>
        <v>0</v>
      </c>
      <c r="CC137" s="608" t="str">
        <f t="shared" si="65"/>
        <v/>
      </c>
      <c r="CD137" s="609"/>
      <c r="CE137" s="609"/>
      <c r="CF137" s="452" t="str">
        <f t="shared" si="66"/>
        <v/>
      </c>
      <c r="CG137" s="609" t="str">
        <f t="shared" si="67"/>
        <v/>
      </c>
      <c r="CH137" s="609"/>
      <c r="CI137" s="610"/>
      <c r="CJ137" s="608" t="str">
        <f t="shared" si="68"/>
        <v/>
      </c>
      <c r="CK137" s="609"/>
      <c r="CL137" s="609"/>
      <c r="CM137" s="609"/>
      <c r="CN137" s="459" t="str">
        <f t="shared" si="69"/>
        <v/>
      </c>
      <c r="CO137" s="452" t="str">
        <f t="shared" si="70"/>
        <v/>
      </c>
      <c r="CP137" s="609" t="str">
        <f t="shared" si="71"/>
        <v/>
      </c>
      <c r="CQ137" s="609"/>
      <c r="CR137" s="610"/>
    </row>
    <row r="138" spans="2:96" ht="14.25" customHeight="1" x14ac:dyDescent="0.25">
      <c r="B138" s="641"/>
      <c r="C138" s="642"/>
      <c r="D138" s="642"/>
      <c r="E138" s="642"/>
      <c r="F138" s="643"/>
      <c r="G138" s="285" t="str">
        <f t="shared" si="74"/>
        <v>0</v>
      </c>
      <c r="H138" s="644" t="str">
        <f t="shared" si="75"/>
        <v/>
      </c>
      <c r="I138" s="645"/>
      <c r="L138" s="489" t="s">
        <v>1</v>
      </c>
      <c r="M138" s="291"/>
      <c r="N138" s="291"/>
      <c r="O138" s="291"/>
      <c r="P138" s="430" t="s">
        <v>8</v>
      </c>
      <c r="Q138" s="430" t="s">
        <v>6</v>
      </c>
      <c r="R138" s="746" t="s">
        <v>1</v>
      </c>
      <c r="S138" s="748"/>
      <c r="T138" s="748"/>
      <c r="U138" s="748"/>
      <c r="V138" s="416" t="s">
        <v>8</v>
      </c>
      <c r="W138" s="855" t="s">
        <v>6</v>
      </c>
      <c r="X138" s="856"/>
      <c r="AO138" s="61" t="s">
        <v>1273</v>
      </c>
      <c r="AP138" s="143" t="s">
        <v>1151</v>
      </c>
      <c r="AQ138" s="143"/>
      <c r="AR138" s="143"/>
      <c r="AS138" s="143"/>
      <c r="AT138" s="143">
        <v>5</v>
      </c>
      <c r="AU138" s="143" t="str">
        <f ca="1">IF(AND(AW157&gt;2,covenant1="Invictus"),"Yes","No")</f>
        <v>No</v>
      </c>
      <c r="AV138" s="143" t="s">
        <v>14</v>
      </c>
      <c r="AW138" s="62">
        <f t="shared" ca="1" si="76"/>
        <v>0</v>
      </c>
      <c r="CC138" s="608" t="str">
        <f t="shared" si="65"/>
        <v/>
      </c>
      <c r="CD138" s="609"/>
      <c r="CE138" s="609"/>
      <c r="CF138" s="452" t="str">
        <f t="shared" si="66"/>
        <v/>
      </c>
      <c r="CG138" s="609" t="str">
        <f t="shared" si="67"/>
        <v/>
      </c>
      <c r="CH138" s="609"/>
      <c r="CI138" s="610"/>
      <c r="CJ138" s="608" t="str">
        <f t="shared" si="68"/>
        <v/>
      </c>
      <c r="CK138" s="609"/>
      <c r="CL138" s="609"/>
      <c r="CM138" s="609"/>
      <c r="CN138" s="459" t="str">
        <f t="shared" si="69"/>
        <v/>
      </c>
      <c r="CO138" s="452" t="str">
        <f t="shared" si="70"/>
        <v/>
      </c>
      <c r="CP138" s="609" t="str">
        <f t="shared" si="71"/>
        <v/>
      </c>
      <c r="CQ138" s="609"/>
      <c r="CR138" s="610"/>
    </row>
    <row r="139" spans="2:96" ht="14.25" customHeight="1" x14ac:dyDescent="0.25">
      <c r="B139" s="641"/>
      <c r="C139" s="642"/>
      <c r="D139" s="642"/>
      <c r="E139" s="642"/>
      <c r="F139" s="643"/>
      <c r="G139" s="285" t="str">
        <f t="shared" si="74"/>
        <v>0</v>
      </c>
      <c r="H139" s="644" t="str">
        <f t="shared" si="75"/>
        <v/>
      </c>
      <c r="I139" s="645"/>
      <c r="L139" s="636"/>
      <c r="M139" s="633"/>
      <c r="N139" s="633"/>
      <c r="O139" s="633"/>
      <c r="P139" s="120" t="str">
        <f t="shared" ref="P139:P144" si="77">IF(L139&lt;&gt;"",VLOOKUP(L139,OathChart,7,FALSE),"0")</f>
        <v>0</v>
      </c>
      <c r="Q139" s="294" t="str">
        <f t="shared" ref="Q139:Q144" si="78">IFERROR(VLOOKUP(L139,OathChart,11,FALSE),"")</f>
        <v/>
      </c>
      <c r="R139" s="632"/>
      <c r="S139" s="633"/>
      <c r="T139" s="633"/>
      <c r="U139" s="848"/>
      <c r="V139" s="120" t="str">
        <f t="shared" ref="V139:V144" si="79">IF(R139&lt;&gt;"",VLOOKUP(R139,OathChart,7,FALSE),"0")</f>
        <v>0</v>
      </c>
      <c r="W139" s="849" t="str">
        <f t="shared" ref="W139:W144" si="80">IFERROR(VLOOKUP(R139,OathChart,11,FALSE),"")</f>
        <v/>
      </c>
      <c r="X139" s="850"/>
      <c r="AO139" s="61" t="s">
        <v>1234</v>
      </c>
      <c r="AP139" s="143" t="s">
        <v>1151</v>
      </c>
      <c r="AQ139" s="143"/>
      <c r="AR139" s="143"/>
      <c r="AS139" s="143"/>
      <c r="AT139" s="143">
        <v>5</v>
      </c>
      <c r="AU139" s="143" t="str">
        <f>IF(AND(dexterity&gt;2,athletics&gt;2),"Yes","No")</f>
        <v>No</v>
      </c>
      <c r="AV139" s="143" t="s">
        <v>14</v>
      </c>
      <c r="AW139" s="62">
        <f t="shared" ca="1" si="76"/>
        <v>0</v>
      </c>
      <c r="CC139" s="608" t="str">
        <f t="shared" si="65"/>
        <v/>
      </c>
      <c r="CD139" s="609"/>
      <c r="CE139" s="609"/>
      <c r="CF139" s="452" t="str">
        <f t="shared" si="66"/>
        <v/>
      </c>
      <c r="CG139" s="609" t="str">
        <f t="shared" si="67"/>
        <v/>
      </c>
      <c r="CH139" s="609"/>
      <c r="CI139" s="610"/>
      <c r="CJ139" s="608" t="str">
        <f t="shared" si="68"/>
        <v/>
      </c>
      <c r="CK139" s="609"/>
      <c r="CL139" s="609"/>
      <c r="CM139" s="609"/>
      <c r="CN139" s="459" t="str">
        <f t="shared" si="69"/>
        <v/>
      </c>
      <c r="CO139" s="452" t="str">
        <f t="shared" si="70"/>
        <v/>
      </c>
      <c r="CP139" s="609" t="str">
        <f t="shared" si="71"/>
        <v/>
      </c>
      <c r="CQ139" s="609"/>
      <c r="CR139" s="610"/>
    </row>
    <row r="140" spans="2:96" ht="14.25" customHeight="1" x14ac:dyDescent="0.25">
      <c r="B140" s="641"/>
      <c r="C140" s="642"/>
      <c r="D140" s="642"/>
      <c r="E140" s="642"/>
      <c r="F140" s="643"/>
      <c r="G140" s="285" t="str">
        <f t="shared" si="74"/>
        <v>0</v>
      </c>
      <c r="H140" s="644" t="str">
        <f t="shared" si="75"/>
        <v/>
      </c>
      <c r="I140" s="645"/>
      <c r="L140" s="636"/>
      <c r="M140" s="633"/>
      <c r="N140" s="633"/>
      <c r="O140" s="633"/>
      <c r="P140" s="120" t="str">
        <f t="shared" si="77"/>
        <v>0</v>
      </c>
      <c r="Q140" s="294" t="str">
        <f t="shared" si="78"/>
        <v/>
      </c>
      <c r="R140" s="632"/>
      <c r="S140" s="633"/>
      <c r="T140" s="633"/>
      <c r="U140" s="848"/>
      <c r="V140" s="120" t="str">
        <f t="shared" si="79"/>
        <v>0</v>
      </c>
      <c r="W140" s="849" t="str">
        <f t="shared" si="80"/>
        <v/>
      </c>
      <c r="X140" s="850"/>
      <c r="AO140" s="61" t="s">
        <v>1235</v>
      </c>
      <c r="AP140" s="143" t="s">
        <v>1151</v>
      </c>
      <c r="AQ140" s="143"/>
      <c r="AR140" s="143"/>
      <c r="AS140" s="143"/>
      <c r="AT140" s="143">
        <v>5</v>
      </c>
      <c r="AU140" s="143" t="str">
        <f ca="1">IF(AW140&lt;=AW129,"Yes","No")</f>
        <v>Yes</v>
      </c>
      <c r="AV140" s="143" t="s">
        <v>14</v>
      </c>
      <c r="AW140" s="62">
        <f t="shared" ca="1" si="76"/>
        <v>0</v>
      </c>
      <c r="CC140" s="608" t="str">
        <f t="shared" si="65"/>
        <v/>
      </c>
      <c r="CD140" s="609"/>
      <c r="CE140" s="609"/>
      <c r="CF140" s="452" t="str">
        <f t="shared" si="66"/>
        <v/>
      </c>
      <c r="CG140" s="609" t="str">
        <f t="shared" si="67"/>
        <v/>
      </c>
      <c r="CH140" s="609"/>
      <c r="CI140" s="610"/>
      <c r="CJ140" s="608" t="str">
        <f t="shared" si="68"/>
        <v/>
      </c>
      <c r="CK140" s="609"/>
      <c r="CL140" s="609"/>
      <c r="CM140" s="609"/>
      <c r="CN140" s="459" t="str">
        <f t="shared" si="69"/>
        <v/>
      </c>
      <c r="CO140" s="452" t="str">
        <f t="shared" si="70"/>
        <v/>
      </c>
      <c r="CP140" s="609" t="str">
        <f t="shared" si="71"/>
        <v/>
      </c>
      <c r="CQ140" s="609"/>
      <c r="CR140" s="610"/>
    </row>
    <row r="141" spans="2:96" ht="14.25" customHeight="1" x14ac:dyDescent="0.25">
      <c r="B141" s="641"/>
      <c r="C141" s="642"/>
      <c r="D141" s="642"/>
      <c r="E141" s="642"/>
      <c r="F141" s="643"/>
      <c r="G141" s="285" t="str">
        <f t="shared" si="74"/>
        <v>0</v>
      </c>
      <c r="H141" s="644" t="str">
        <f t="shared" si="75"/>
        <v/>
      </c>
      <c r="I141" s="645"/>
      <c r="L141" s="636"/>
      <c r="M141" s="633"/>
      <c r="N141" s="633"/>
      <c r="O141" s="633"/>
      <c r="P141" s="120" t="str">
        <f t="shared" si="77"/>
        <v>0</v>
      </c>
      <c r="Q141" s="294" t="str">
        <f t="shared" si="78"/>
        <v/>
      </c>
      <c r="R141" s="632"/>
      <c r="S141" s="633"/>
      <c r="T141" s="633"/>
      <c r="U141" s="848"/>
      <c r="V141" s="120" t="str">
        <f t="shared" si="79"/>
        <v>0</v>
      </c>
      <c r="W141" s="849" t="str">
        <f t="shared" si="80"/>
        <v/>
      </c>
      <c r="X141" s="850"/>
      <c r="AO141" s="61" t="s">
        <v>1236</v>
      </c>
      <c r="AP141" s="143" t="s">
        <v>1151</v>
      </c>
      <c r="AQ141" s="143"/>
      <c r="AR141" s="143"/>
      <c r="AS141" s="143"/>
      <c r="AT141" s="143">
        <v>5</v>
      </c>
      <c r="AU141" s="143" t="s">
        <v>806</v>
      </c>
      <c r="AV141" s="143" t="s">
        <v>14</v>
      </c>
      <c r="AW141" s="62">
        <f t="shared" ca="1" si="76"/>
        <v>0</v>
      </c>
      <c r="CC141" s="608" t="str">
        <f t="shared" si="65"/>
        <v/>
      </c>
      <c r="CD141" s="609"/>
      <c r="CE141" s="609"/>
      <c r="CF141" s="452" t="str">
        <f t="shared" si="66"/>
        <v/>
      </c>
      <c r="CG141" s="609" t="str">
        <f t="shared" si="67"/>
        <v/>
      </c>
      <c r="CH141" s="609"/>
      <c r="CI141" s="610"/>
      <c r="CJ141" s="608" t="str">
        <f t="shared" si="68"/>
        <v/>
      </c>
      <c r="CK141" s="609"/>
      <c r="CL141" s="609"/>
      <c r="CM141" s="609"/>
      <c r="CN141" s="459" t="str">
        <f t="shared" si="69"/>
        <v/>
      </c>
      <c r="CO141" s="452" t="str">
        <f t="shared" si="70"/>
        <v/>
      </c>
      <c r="CP141" s="609" t="str">
        <f t="shared" si="71"/>
        <v/>
      </c>
      <c r="CQ141" s="609"/>
      <c r="CR141" s="610"/>
    </row>
    <row r="142" spans="2:96" ht="14.25" customHeight="1" x14ac:dyDescent="0.25">
      <c r="B142" s="641"/>
      <c r="C142" s="642"/>
      <c r="D142" s="642"/>
      <c r="E142" s="642"/>
      <c r="F142" s="643"/>
      <c r="G142" s="285" t="str">
        <f t="shared" si="74"/>
        <v>0</v>
      </c>
      <c r="H142" s="644" t="str">
        <f t="shared" si="75"/>
        <v/>
      </c>
      <c r="I142" s="645"/>
      <c r="L142" s="636"/>
      <c r="M142" s="633"/>
      <c r="N142" s="633"/>
      <c r="O142" s="633"/>
      <c r="P142" s="120" t="str">
        <f t="shared" si="77"/>
        <v>0</v>
      </c>
      <c r="Q142" s="294" t="str">
        <f t="shared" si="78"/>
        <v/>
      </c>
      <c r="R142" s="632"/>
      <c r="S142" s="633"/>
      <c r="T142" s="633"/>
      <c r="U142" s="848"/>
      <c r="V142" s="120" t="str">
        <f t="shared" si="79"/>
        <v>0</v>
      </c>
      <c r="W142" s="849" t="str">
        <f t="shared" si="80"/>
        <v/>
      </c>
      <c r="X142" s="850"/>
      <c r="AO142" s="61" t="s">
        <v>1237</v>
      </c>
      <c r="AP142" s="143">
        <v>1</v>
      </c>
      <c r="AQ142" s="143"/>
      <c r="AR142" s="143"/>
      <c r="AS142" s="143"/>
      <c r="AT142" s="143">
        <v>1</v>
      </c>
      <c r="AU142" s="143" t="str">
        <f>IF(drive&gt;1,"Yes","No")</f>
        <v>No</v>
      </c>
      <c r="AV142" s="143" t="s">
        <v>14</v>
      </c>
      <c r="AW142" s="62">
        <f t="shared" ca="1" si="76"/>
        <v>0</v>
      </c>
      <c r="CC142" s="608" t="str">
        <f t="shared" si="65"/>
        <v/>
      </c>
      <c r="CD142" s="609"/>
      <c r="CE142" s="609"/>
      <c r="CF142" s="452" t="str">
        <f t="shared" si="66"/>
        <v/>
      </c>
      <c r="CG142" s="609" t="str">
        <f t="shared" si="67"/>
        <v/>
      </c>
      <c r="CH142" s="609"/>
      <c r="CI142" s="610"/>
      <c r="CJ142" s="608" t="str">
        <f t="shared" si="68"/>
        <v/>
      </c>
      <c r="CK142" s="609"/>
      <c r="CL142" s="609"/>
      <c r="CM142" s="609"/>
      <c r="CN142" s="459" t="str">
        <f t="shared" si="69"/>
        <v/>
      </c>
      <c r="CO142" s="452" t="str">
        <f t="shared" si="70"/>
        <v/>
      </c>
      <c r="CP142" s="609" t="str">
        <f t="shared" si="71"/>
        <v/>
      </c>
      <c r="CQ142" s="609"/>
      <c r="CR142" s="610"/>
    </row>
    <row r="143" spans="2:96" ht="14.25" customHeight="1" x14ac:dyDescent="0.25">
      <c r="B143" s="641"/>
      <c r="C143" s="642"/>
      <c r="D143" s="642"/>
      <c r="E143" s="642"/>
      <c r="F143" s="643"/>
      <c r="G143" s="285" t="str">
        <f t="shared" si="74"/>
        <v>0</v>
      </c>
      <c r="H143" s="644" t="str">
        <f t="shared" si="75"/>
        <v/>
      </c>
      <c r="I143" s="645"/>
      <c r="L143" s="636"/>
      <c r="M143" s="633"/>
      <c r="N143" s="633"/>
      <c r="O143" s="633"/>
      <c r="P143" s="120" t="str">
        <f t="shared" si="77"/>
        <v>0</v>
      </c>
      <c r="Q143" s="294" t="str">
        <f t="shared" si="78"/>
        <v/>
      </c>
      <c r="R143" s="632"/>
      <c r="S143" s="633"/>
      <c r="T143" s="633"/>
      <c r="U143" s="848"/>
      <c r="V143" s="120" t="str">
        <f t="shared" si="79"/>
        <v>0</v>
      </c>
      <c r="W143" s="849" t="str">
        <f t="shared" si="80"/>
        <v/>
      </c>
      <c r="X143" s="850"/>
      <c r="AO143" s="61" t="s">
        <v>1249</v>
      </c>
      <c r="AP143" s="143">
        <v>2</v>
      </c>
      <c r="AQ143" s="143"/>
      <c r="AR143" s="143"/>
      <c r="AS143" s="143"/>
      <c r="AT143" s="143">
        <v>2</v>
      </c>
      <c r="AU143" s="143" t="s">
        <v>806</v>
      </c>
      <c r="AV143" s="143" t="s">
        <v>14</v>
      </c>
      <c r="AW143" s="62">
        <f t="shared" ca="1" si="76"/>
        <v>0</v>
      </c>
      <c r="CC143" s="608" t="str">
        <f t="shared" si="65"/>
        <v/>
      </c>
      <c r="CD143" s="609"/>
      <c r="CE143" s="609"/>
      <c r="CF143" s="452" t="str">
        <f t="shared" si="66"/>
        <v/>
      </c>
      <c r="CG143" s="609" t="str">
        <f t="shared" si="67"/>
        <v/>
      </c>
      <c r="CH143" s="609"/>
      <c r="CI143" s="610"/>
      <c r="CJ143" s="608" t="str">
        <f t="shared" si="68"/>
        <v/>
      </c>
      <c r="CK143" s="609"/>
      <c r="CL143" s="609"/>
      <c r="CM143" s="609"/>
      <c r="CN143" s="459" t="str">
        <f t="shared" si="69"/>
        <v/>
      </c>
      <c r="CO143" s="452" t="str">
        <f t="shared" si="70"/>
        <v/>
      </c>
      <c r="CP143" s="609" t="str">
        <f t="shared" si="71"/>
        <v/>
      </c>
      <c r="CQ143" s="609"/>
      <c r="CR143" s="610"/>
    </row>
    <row r="144" spans="2:96" ht="14.25" customHeight="1" x14ac:dyDescent="0.25">
      <c r="B144" s="641"/>
      <c r="C144" s="642"/>
      <c r="D144" s="642"/>
      <c r="E144" s="642"/>
      <c r="F144" s="643"/>
      <c r="G144" s="285" t="str">
        <f t="shared" si="74"/>
        <v>0</v>
      </c>
      <c r="H144" s="644" t="str">
        <f t="shared" si="75"/>
        <v/>
      </c>
      <c r="I144" s="645"/>
      <c r="L144" s="636"/>
      <c r="M144" s="633"/>
      <c r="N144" s="633"/>
      <c r="O144" s="633"/>
      <c r="P144" s="120" t="str">
        <f t="shared" si="77"/>
        <v>0</v>
      </c>
      <c r="Q144" s="294" t="str">
        <f t="shared" si="78"/>
        <v/>
      </c>
      <c r="R144" s="632"/>
      <c r="S144" s="633"/>
      <c r="T144" s="633"/>
      <c r="U144" s="848"/>
      <c r="V144" s="120" t="str">
        <f t="shared" si="79"/>
        <v>0</v>
      </c>
      <c r="W144" s="849" t="str">
        <f t="shared" si="80"/>
        <v/>
      </c>
      <c r="X144" s="850"/>
      <c r="AO144" s="61" t="s">
        <v>1250</v>
      </c>
      <c r="AP144" s="143">
        <v>4</v>
      </c>
      <c r="AQ144" s="143"/>
      <c r="AR144" s="143"/>
      <c r="AS144" s="143"/>
      <c r="AT144" s="143">
        <v>4</v>
      </c>
      <c r="AU144" s="143" t="s">
        <v>806</v>
      </c>
      <c r="AV144" s="143" t="s">
        <v>14</v>
      </c>
      <c r="AW144" s="62">
        <f t="shared" ca="1" si="76"/>
        <v>0</v>
      </c>
      <c r="CC144" s="608" t="str">
        <f t="shared" si="65"/>
        <v/>
      </c>
      <c r="CD144" s="609"/>
      <c r="CE144" s="609"/>
      <c r="CF144" s="452" t="str">
        <f t="shared" si="66"/>
        <v/>
      </c>
      <c r="CG144" s="609" t="str">
        <f t="shared" si="67"/>
        <v/>
      </c>
      <c r="CH144" s="609"/>
      <c r="CI144" s="610"/>
      <c r="CJ144" s="608" t="str">
        <f t="shared" si="68"/>
        <v/>
      </c>
      <c r="CK144" s="609"/>
      <c r="CL144" s="609"/>
      <c r="CM144" s="609"/>
      <c r="CN144" s="459" t="str">
        <f t="shared" si="69"/>
        <v/>
      </c>
      <c r="CO144" s="452" t="str">
        <f t="shared" si="70"/>
        <v/>
      </c>
      <c r="CP144" s="609" t="str">
        <f t="shared" si="71"/>
        <v/>
      </c>
      <c r="CQ144" s="609"/>
      <c r="CR144" s="610"/>
    </row>
    <row r="145" spans="2:96" ht="14.25" customHeight="1" x14ac:dyDescent="0.25">
      <c r="B145" s="641"/>
      <c r="C145" s="642"/>
      <c r="D145" s="642"/>
      <c r="E145" s="642"/>
      <c r="F145" s="643"/>
      <c r="G145" s="285" t="str">
        <f t="shared" si="74"/>
        <v>0</v>
      </c>
      <c r="H145" s="644" t="str">
        <f t="shared" si="75"/>
        <v/>
      </c>
      <c r="I145" s="645"/>
      <c r="L145" s="292"/>
      <c r="M145" s="293"/>
      <c r="N145" s="293"/>
      <c r="O145" s="293"/>
      <c r="P145" s="114"/>
      <c r="Q145" s="114"/>
      <c r="R145" s="114"/>
      <c r="S145" s="114"/>
      <c r="T145" s="114"/>
      <c r="U145" s="114"/>
      <c r="V145" s="114"/>
      <c r="W145" s="114"/>
      <c r="X145" s="30"/>
      <c r="AO145" s="61" t="s">
        <v>1238</v>
      </c>
      <c r="AP145" s="143">
        <v>1</v>
      </c>
      <c r="AQ145" s="143"/>
      <c r="AR145" s="143"/>
      <c r="AS145" s="143"/>
      <c r="AT145" s="143">
        <v>1</v>
      </c>
      <c r="AU145" s="143" t="str">
        <f>IF(strength&gt;1,"Yes","No")</f>
        <v>No</v>
      </c>
      <c r="AV145" s="143" t="s">
        <v>14</v>
      </c>
      <c r="AW145" s="62">
        <f t="shared" ca="1" si="76"/>
        <v>0</v>
      </c>
      <c r="CC145" s="608" t="str">
        <f t="shared" si="65"/>
        <v/>
      </c>
      <c r="CD145" s="609"/>
      <c r="CE145" s="609"/>
      <c r="CF145" s="452" t="str">
        <f t="shared" si="66"/>
        <v/>
      </c>
      <c r="CG145" s="609" t="str">
        <f t="shared" si="67"/>
        <v/>
      </c>
      <c r="CH145" s="609"/>
      <c r="CI145" s="610"/>
      <c r="CJ145" s="608" t="str">
        <f t="shared" si="68"/>
        <v/>
      </c>
      <c r="CK145" s="609"/>
      <c r="CL145" s="609"/>
      <c r="CM145" s="609"/>
      <c r="CN145" s="459" t="str">
        <f t="shared" si="69"/>
        <v/>
      </c>
      <c r="CO145" s="452" t="str">
        <f t="shared" si="70"/>
        <v/>
      </c>
      <c r="CP145" s="609" t="str">
        <f t="shared" si="71"/>
        <v/>
      </c>
      <c r="CQ145" s="609"/>
      <c r="CR145" s="610"/>
    </row>
    <row r="146" spans="2:96" ht="14.25" customHeight="1" x14ac:dyDescent="0.25">
      <c r="B146" s="641"/>
      <c r="C146" s="642"/>
      <c r="D146" s="642"/>
      <c r="E146" s="642"/>
      <c r="F146" s="643"/>
      <c r="G146" s="285" t="str">
        <f t="shared" si="74"/>
        <v>0</v>
      </c>
      <c r="H146" s="644" t="str">
        <f t="shared" si="75"/>
        <v/>
      </c>
      <c r="I146" s="645"/>
      <c r="L146" s="857" t="s">
        <v>1888</v>
      </c>
      <c r="M146" s="748"/>
      <c r="N146" s="748"/>
      <c r="O146" s="748"/>
      <c r="P146" s="748" t="s">
        <v>1889</v>
      </c>
      <c r="Q146" s="748"/>
      <c r="R146" s="748" t="s">
        <v>1890</v>
      </c>
      <c r="S146" s="748"/>
      <c r="T146" s="748"/>
      <c r="U146" s="748"/>
      <c r="V146" s="748"/>
      <c r="W146" s="748" t="s">
        <v>1891</v>
      </c>
      <c r="X146" s="858"/>
      <c r="AO146" s="61" t="s">
        <v>2251</v>
      </c>
      <c r="AP146" s="143">
        <v>1</v>
      </c>
      <c r="AQ146" s="143"/>
      <c r="AR146" s="143"/>
      <c r="AS146" s="143"/>
      <c r="AT146" s="143">
        <v>1</v>
      </c>
      <c r="AU146" s="143" t="str">
        <f>IF(AND(covenant1="Carthian Movement",academics&gt;1),"Yes","No")</f>
        <v>No</v>
      </c>
      <c r="AV146" s="143" t="s">
        <v>14</v>
      </c>
      <c r="AW146" s="62">
        <f t="shared" ca="1" si="76"/>
        <v>0</v>
      </c>
      <c r="CC146" s="608" t="str">
        <f t="shared" si="65"/>
        <v/>
      </c>
      <c r="CD146" s="609"/>
      <c r="CE146" s="609"/>
      <c r="CF146" s="452" t="str">
        <f t="shared" si="66"/>
        <v/>
      </c>
      <c r="CG146" s="609" t="str">
        <f t="shared" si="67"/>
        <v/>
      </c>
      <c r="CH146" s="609"/>
      <c r="CI146" s="610"/>
      <c r="CJ146" s="608" t="str">
        <f t="shared" si="68"/>
        <v/>
      </c>
      <c r="CK146" s="609"/>
      <c r="CL146" s="609"/>
      <c r="CM146" s="609"/>
      <c r="CN146" s="459" t="str">
        <f t="shared" si="69"/>
        <v/>
      </c>
      <c r="CO146" s="452" t="str">
        <f t="shared" si="70"/>
        <v/>
      </c>
      <c r="CP146" s="609" t="str">
        <f t="shared" si="71"/>
        <v/>
      </c>
      <c r="CQ146" s="609"/>
      <c r="CR146" s="610"/>
    </row>
    <row r="147" spans="2:96" ht="14.25" customHeight="1" x14ac:dyDescent="0.25">
      <c r="B147" s="641"/>
      <c r="C147" s="642"/>
      <c r="D147" s="642"/>
      <c r="E147" s="642"/>
      <c r="F147" s="643"/>
      <c r="G147" s="285" t="str">
        <f t="shared" si="74"/>
        <v>0</v>
      </c>
      <c r="H147" s="644" t="str">
        <f t="shared" si="75"/>
        <v/>
      </c>
      <c r="I147" s="645"/>
      <c r="L147" s="636"/>
      <c r="M147" s="633"/>
      <c r="N147" s="633"/>
      <c r="O147" s="848"/>
      <c r="P147" s="632"/>
      <c r="Q147" s="848"/>
      <c r="R147" s="632"/>
      <c r="S147" s="633"/>
      <c r="T147" s="633"/>
      <c r="U147" s="633"/>
      <c r="V147" s="848"/>
      <c r="W147" s="634"/>
      <c r="X147" s="635"/>
      <c r="AO147" s="61" t="s">
        <v>1252</v>
      </c>
      <c r="AP147" s="143">
        <v>3</v>
      </c>
      <c r="AQ147" s="143"/>
      <c r="AR147" s="143"/>
      <c r="AS147" s="143"/>
      <c r="AT147" s="143">
        <v>3</v>
      </c>
      <c r="AU147" s="143" t="str">
        <f>IF(dexterity&gt;2,"Yes","No")</f>
        <v>No</v>
      </c>
      <c r="AV147" s="143" t="s">
        <v>14</v>
      </c>
      <c r="AW147" s="62">
        <f t="shared" ca="1" si="76"/>
        <v>0</v>
      </c>
      <c r="CC147" s="608" t="str">
        <f t="shared" si="65"/>
        <v/>
      </c>
      <c r="CD147" s="609"/>
      <c r="CE147" s="609"/>
      <c r="CF147" s="452" t="str">
        <f t="shared" si="66"/>
        <v/>
      </c>
      <c r="CG147" s="609" t="str">
        <f t="shared" si="67"/>
        <v/>
      </c>
      <c r="CH147" s="609"/>
      <c r="CI147" s="610"/>
      <c r="CJ147" s="608" t="str">
        <f t="shared" si="68"/>
        <v/>
      </c>
      <c r="CK147" s="609"/>
      <c r="CL147" s="609"/>
      <c r="CM147" s="609"/>
      <c r="CN147" s="459" t="str">
        <f t="shared" si="69"/>
        <v/>
      </c>
      <c r="CO147" s="452" t="str">
        <f t="shared" si="70"/>
        <v/>
      </c>
      <c r="CP147" s="609" t="str">
        <f t="shared" si="71"/>
        <v/>
      </c>
      <c r="CQ147" s="609"/>
      <c r="CR147" s="610"/>
    </row>
    <row r="148" spans="2:96" ht="14.25" customHeight="1" x14ac:dyDescent="0.25">
      <c r="B148" s="641"/>
      <c r="C148" s="642"/>
      <c r="D148" s="642"/>
      <c r="E148" s="642"/>
      <c r="F148" s="643"/>
      <c r="G148" s="285" t="str">
        <f t="shared" si="74"/>
        <v>0</v>
      </c>
      <c r="H148" s="644" t="str">
        <f t="shared" si="75"/>
        <v/>
      </c>
      <c r="I148" s="645"/>
      <c r="L148" s="636"/>
      <c r="M148" s="633"/>
      <c r="N148" s="633"/>
      <c r="O148" s="848"/>
      <c r="P148" s="632"/>
      <c r="Q148" s="848"/>
      <c r="R148" s="632"/>
      <c r="S148" s="633"/>
      <c r="T148" s="633"/>
      <c r="U148" s="633"/>
      <c r="V148" s="848"/>
      <c r="W148" s="634"/>
      <c r="X148" s="635"/>
      <c r="AO148" s="61" t="s">
        <v>1251</v>
      </c>
      <c r="AP148" s="143">
        <v>3</v>
      </c>
      <c r="AQ148" s="143"/>
      <c r="AR148" s="143"/>
      <c r="AS148" s="143"/>
      <c r="AT148" s="143">
        <v>3</v>
      </c>
      <c r="AU148" s="143" t="str">
        <f>IF(dexterity&gt;2,"Yes","No")</f>
        <v>No</v>
      </c>
      <c r="AV148" s="143" t="s">
        <v>14</v>
      </c>
      <c r="AW148" s="62">
        <f t="shared" ca="1" si="76"/>
        <v>0</v>
      </c>
      <c r="CC148" s="608" t="str">
        <f t="shared" si="65"/>
        <v/>
      </c>
      <c r="CD148" s="609"/>
      <c r="CE148" s="609"/>
      <c r="CF148" s="452" t="str">
        <f t="shared" si="66"/>
        <v/>
      </c>
      <c r="CG148" s="609" t="str">
        <f t="shared" si="67"/>
        <v/>
      </c>
      <c r="CH148" s="609"/>
      <c r="CI148" s="610"/>
      <c r="CJ148" s="608" t="str">
        <f t="shared" si="68"/>
        <v/>
      </c>
      <c r="CK148" s="609"/>
      <c r="CL148" s="609"/>
      <c r="CM148" s="609"/>
      <c r="CN148" s="459" t="str">
        <f t="shared" si="69"/>
        <v/>
      </c>
      <c r="CO148" s="452" t="str">
        <f t="shared" si="70"/>
        <v/>
      </c>
      <c r="CP148" s="609" t="str">
        <f t="shared" si="71"/>
        <v/>
      </c>
      <c r="CQ148" s="609"/>
      <c r="CR148" s="610"/>
    </row>
    <row r="149" spans="2:96" ht="14.25" customHeight="1" x14ac:dyDescent="0.25">
      <c r="B149" s="641"/>
      <c r="C149" s="642"/>
      <c r="D149" s="642"/>
      <c r="E149" s="642"/>
      <c r="F149" s="643"/>
      <c r="G149" s="285" t="str">
        <f t="shared" si="74"/>
        <v>0</v>
      </c>
      <c r="H149" s="644" t="str">
        <f t="shared" si="75"/>
        <v/>
      </c>
      <c r="I149" s="645"/>
      <c r="L149" s="636"/>
      <c r="M149" s="633"/>
      <c r="N149" s="633"/>
      <c r="O149" s="848"/>
      <c r="P149" s="632"/>
      <c r="Q149" s="848"/>
      <c r="R149" s="632"/>
      <c r="S149" s="633"/>
      <c r="T149" s="633"/>
      <c r="U149" s="633"/>
      <c r="V149" s="848"/>
      <c r="W149" s="634"/>
      <c r="X149" s="635"/>
      <c r="AO149" s="61" t="s">
        <v>2252</v>
      </c>
      <c r="AP149" s="143">
        <v>2</v>
      </c>
      <c r="AQ149" s="143"/>
      <c r="AR149" s="143"/>
      <c r="AS149" s="143"/>
      <c r="AT149" s="143">
        <v>2</v>
      </c>
      <c r="AU149" s="143" t="str">
        <f>IF(AND(clan1="Gangrel",protean&gt;3),"Yes","No")</f>
        <v>No</v>
      </c>
      <c r="AV149" s="143" t="s">
        <v>14</v>
      </c>
      <c r="AW149" s="62">
        <f t="shared" ca="1" si="76"/>
        <v>0</v>
      </c>
      <c r="CC149" s="608" t="str">
        <f t="shared" si="65"/>
        <v/>
      </c>
      <c r="CD149" s="609"/>
      <c r="CE149" s="609"/>
      <c r="CF149" s="452" t="str">
        <f t="shared" si="66"/>
        <v/>
      </c>
      <c r="CG149" s="609" t="str">
        <f t="shared" si="67"/>
        <v/>
      </c>
      <c r="CH149" s="609"/>
      <c r="CI149" s="610"/>
      <c r="CJ149" s="608" t="str">
        <f t="shared" si="68"/>
        <v/>
      </c>
      <c r="CK149" s="609"/>
      <c r="CL149" s="609"/>
      <c r="CM149" s="609"/>
      <c r="CN149" s="459" t="str">
        <f t="shared" si="69"/>
        <v/>
      </c>
      <c r="CO149" s="452" t="str">
        <f t="shared" si="70"/>
        <v/>
      </c>
      <c r="CP149" s="609" t="str">
        <f t="shared" si="71"/>
        <v/>
      </c>
      <c r="CQ149" s="609"/>
      <c r="CR149" s="610"/>
    </row>
    <row r="150" spans="2:96" ht="14.25" customHeight="1" x14ac:dyDescent="0.25">
      <c r="B150" s="641"/>
      <c r="C150" s="642"/>
      <c r="D150" s="642"/>
      <c r="E150" s="642"/>
      <c r="F150" s="643"/>
      <c r="G150" s="285" t="str">
        <f t="shared" si="74"/>
        <v>0</v>
      </c>
      <c r="H150" s="644" t="str">
        <f t="shared" si="75"/>
        <v/>
      </c>
      <c r="I150" s="645"/>
      <c r="L150" s="636"/>
      <c r="M150" s="633"/>
      <c r="N150" s="633"/>
      <c r="O150" s="848"/>
      <c r="P150" s="632"/>
      <c r="Q150" s="848"/>
      <c r="R150" s="632"/>
      <c r="S150" s="633"/>
      <c r="T150" s="633"/>
      <c r="U150" s="633"/>
      <c r="V150" s="848"/>
      <c r="W150" s="634"/>
      <c r="X150" s="635"/>
      <c r="AO150" s="61" t="s">
        <v>2261</v>
      </c>
      <c r="AP150" s="143" t="s">
        <v>1151</v>
      </c>
      <c r="AQ150" s="143"/>
      <c r="AR150" s="143"/>
      <c r="AS150" s="143"/>
      <c r="AT150" s="143">
        <v>5</v>
      </c>
      <c r="AU150" s="143" t="str">
        <f ca="1">IF(AND(covenant1="Invictus",AW138&gt;0),"Yes","No")</f>
        <v>No</v>
      </c>
      <c r="AV150" s="143" t="s">
        <v>32</v>
      </c>
      <c r="AW150" s="62">
        <f t="shared" ca="1" si="76"/>
        <v>0</v>
      </c>
      <c r="CC150" s="608" t="str">
        <f t="shared" si="65"/>
        <v/>
      </c>
      <c r="CD150" s="609"/>
      <c r="CE150" s="609"/>
      <c r="CF150" s="452" t="str">
        <f t="shared" si="66"/>
        <v/>
      </c>
      <c r="CG150" s="609" t="str">
        <f t="shared" si="67"/>
        <v/>
      </c>
      <c r="CH150" s="609"/>
      <c r="CI150" s="610"/>
      <c r="CJ150" s="608" t="str">
        <f t="shared" si="68"/>
        <v/>
      </c>
      <c r="CK150" s="609"/>
      <c r="CL150" s="609"/>
      <c r="CM150" s="609"/>
      <c r="CN150" s="459" t="str">
        <f t="shared" si="69"/>
        <v/>
      </c>
      <c r="CO150" s="452" t="str">
        <f t="shared" si="70"/>
        <v/>
      </c>
      <c r="CP150" s="609" t="str">
        <f t="shared" si="71"/>
        <v/>
      </c>
      <c r="CQ150" s="609"/>
      <c r="CR150" s="610"/>
    </row>
    <row r="151" spans="2:96" ht="14.25" customHeight="1" x14ac:dyDescent="0.25">
      <c r="B151" s="641"/>
      <c r="C151" s="642"/>
      <c r="D151" s="642"/>
      <c r="E151" s="642"/>
      <c r="F151" s="643"/>
      <c r="G151" s="285" t="str">
        <f t="shared" si="74"/>
        <v>0</v>
      </c>
      <c r="H151" s="644" t="str">
        <f t="shared" si="75"/>
        <v/>
      </c>
      <c r="I151" s="645"/>
      <c r="L151" s="636"/>
      <c r="M151" s="633"/>
      <c r="N151" s="633"/>
      <c r="O151" s="848"/>
      <c r="P151" s="632"/>
      <c r="Q151" s="848"/>
      <c r="R151" s="632"/>
      <c r="S151" s="633"/>
      <c r="T151" s="633"/>
      <c r="U151" s="633"/>
      <c r="V151" s="848"/>
      <c r="W151" s="634"/>
      <c r="X151" s="635"/>
      <c r="AO151" s="61" t="s">
        <v>1239</v>
      </c>
      <c r="AP151" s="143" t="s">
        <v>1151</v>
      </c>
      <c r="AQ151" s="143"/>
      <c r="AR151" s="143"/>
      <c r="AS151" s="143"/>
      <c r="AT151" s="143">
        <v>2</v>
      </c>
      <c r="AU151" s="143" t="s">
        <v>806</v>
      </c>
      <c r="AV151" s="143" t="s">
        <v>14</v>
      </c>
      <c r="AW151" s="62">
        <f t="shared" ca="1" si="76"/>
        <v>0</v>
      </c>
      <c r="CC151" s="608" t="str">
        <f t="shared" si="65"/>
        <v/>
      </c>
      <c r="CD151" s="609"/>
      <c r="CE151" s="609"/>
      <c r="CF151" s="452" t="str">
        <f t="shared" si="66"/>
        <v/>
      </c>
      <c r="CG151" s="609" t="str">
        <f t="shared" si="67"/>
        <v/>
      </c>
      <c r="CH151" s="609"/>
      <c r="CI151" s="610"/>
      <c r="CJ151" s="608" t="str">
        <f t="shared" si="68"/>
        <v/>
      </c>
      <c r="CK151" s="609"/>
      <c r="CL151" s="609"/>
      <c r="CM151" s="609"/>
      <c r="CN151" s="459" t="str">
        <f t="shared" si="69"/>
        <v/>
      </c>
      <c r="CO151" s="452" t="str">
        <f t="shared" si="70"/>
        <v/>
      </c>
      <c r="CP151" s="609" t="str">
        <f t="shared" si="71"/>
        <v/>
      </c>
      <c r="CQ151" s="609"/>
      <c r="CR151" s="610"/>
    </row>
    <row r="152" spans="2:96" ht="14.25" customHeight="1" x14ac:dyDescent="0.25">
      <c r="B152" s="641"/>
      <c r="C152" s="642"/>
      <c r="D152" s="642"/>
      <c r="E152" s="642"/>
      <c r="F152" s="643"/>
      <c r="G152" s="285" t="str">
        <f t="shared" si="74"/>
        <v>0</v>
      </c>
      <c r="H152" s="644" t="str">
        <f t="shared" si="75"/>
        <v/>
      </c>
      <c r="I152" s="645"/>
      <c r="L152" s="636"/>
      <c r="M152" s="633"/>
      <c r="N152" s="633"/>
      <c r="O152" s="848"/>
      <c r="P152" s="632"/>
      <c r="Q152" s="848"/>
      <c r="R152" s="632"/>
      <c r="S152" s="633"/>
      <c r="T152" s="633"/>
      <c r="U152" s="633"/>
      <c r="V152" s="848"/>
      <c r="W152" s="634"/>
      <c r="X152" s="635"/>
      <c r="AO152" s="61" t="s">
        <v>2253</v>
      </c>
      <c r="AP152" s="143">
        <v>2</v>
      </c>
      <c r="AQ152" s="143"/>
      <c r="AR152" s="143"/>
      <c r="AS152" s="143"/>
      <c r="AT152" s="143">
        <v>2</v>
      </c>
      <c r="AU152" s="143" t="str">
        <f>IF(resolve&gt;2,"Yes","No")</f>
        <v>No</v>
      </c>
      <c r="AV152" s="143" t="s">
        <v>14</v>
      </c>
      <c r="AW152" s="62">
        <f t="shared" ca="1" si="76"/>
        <v>0</v>
      </c>
      <c r="CC152" s="608" t="str">
        <f t="shared" si="65"/>
        <v/>
      </c>
      <c r="CD152" s="609"/>
      <c r="CE152" s="609"/>
      <c r="CF152" s="452" t="str">
        <f t="shared" si="66"/>
        <v/>
      </c>
      <c r="CG152" s="609" t="str">
        <f t="shared" si="67"/>
        <v/>
      </c>
      <c r="CH152" s="609"/>
      <c r="CI152" s="610"/>
      <c r="CJ152" s="608" t="str">
        <f t="shared" si="68"/>
        <v/>
      </c>
      <c r="CK152" s="609"/>
      <c r="CL152" s="609"/>
      <c r="CM152" s="609"/>
      <c r="CN152" s="459" t="str">
        <f t="shared" si="69"/>
        <v/>
      </c>
      <c r="CO152" s="452" t="str">
        <f t="shared" si="70"/>
        <v/>
      </c>
      <c r="CP152" s="609" t="str">
        <f t="shared" si="71"/>
        <v/>
      </c>
      <c r="CQ152" s="609"/>
      <c r="CR152" s="610"/>
    </row>
    <row r="153" spans="2:96" ht="14.25" customHeight="1" x14ac:dyDescent="0.25">
      <c r="B153" s="641"/>
      <c r="C153" s="642"/>
      <c r="D153" s="642"/>
      <c r="E153" s="642"/>
      <c r="F153" s="643"/>
      <c r="G153" s="285" t="str">
        <f t="shared" si="74"/>
        <v>0</v>
      </c>
      <c r="H153" s="644" t="str">
        <f t="shared" si="75"/>
        <v/>
      </c>
      <c r="I153" s="645"/>
      <c r="L153" s="636"/>
      <c r="M153" s="633"/>
      <c r="N153" s="633"/>
      <c r="O153" s="848"/>
      <c r="P153" s="632"/>
      <c r="Q153" s="848"/>
      <c r="R153" s="632"/>
      <c r="S153" s="633"/>
      <c r="T153" s="633"/>
      <c r="U153" s="633"/>
      <c r="V153" s="848"/>
      <c r="W153" s="634"/>
      <c r="X153" s="635"/>
      <c r="AO153" s="61" t="s">
        <v>2254</v>
      </c>
      <c r="AP153" s="143">
        <v>1</v>
      </c>
      <c r="AQ153" s="143"/>
      <c r="AR153" s="143"/>
      <c r="AS153" s="143"/>
      <c r="AT153" s="143">
        <v>1</v>
      </c>
      <c r="AU153" s="143" t="str">
        <f>IF(AND(covenant1="Carthian Movement",streetwise&gt;1),"Yes","No")</f>
        <v>No</v>
      </c>
      <c r="AV153" s="143" t="s">
        <v>14</v>
      </c>
      <c r="AW153" s="62">
        <f t="shared" ca="1" si="76"/>
        <v>0</v>
      </c>
      <c r="CC153" s="608" t="str">
        <f t="shared" si="65"/>
        <v/>
      </c>
      <c r="CD153" s="609"/>
      <c r="CE153" s="609"/>
      <c r="CF153" s="452" t="str">
        <f t="shared" si="66"/>
        <v/>
      </c>
      <c r="CG153" s="609" t="str">
        <f t="shared" si="67"/>
        <v/>
      </c>
      <c r="CH153" s="609"/>
      <c r="CI153" s="610"/>
      <c r="CJ153" s="608" t="str">
        <f t="shared" si="68"/>
        <v/>
      </c>
      <c r="CK153" s="609"/>
      <c r="CL153" s="609"/>
      <c r="CM153" s="609"/>
      <c r="CN153" s="459" t="str">
        <f t="shared" si="69"/>
        <v/>
      </c>
      <c r="CO153" s="452" t="str">
        <f t="shared" si="70"/>
        <v/>
      </c>
      <c r="CP153" s="609" t="str">
        <f t="shared" si="71"/>
        <v/>
      </c>
      <c r="CQ153" s="609"/>
      <c r="CR153" s="610"/>
    </row>
    <row r="154" spans="2:96" ht="14.25" customHeight="1" x14ac:dyDescent="0.25">
      <c r="B154" s="641"/>
      <c r="C154" s="642"/>
      <c r="D154" s="642"/>
      <c r="E154" s="642"/>
      <c r="F154" s="643"/>
      <c r="G154" s="285" t="str">
        <f t="shared" si="74"/>
        <v>0</v>
      </c>
      <c r="H154" s="644" t="str">
        <f t="shared" si="75"/>
        <v/>
      </c>
      <c r="I154" s="645"/>
      <c r="L154" s="636"/>
      <c r="M154" s="633"/>
      <c r="N154" s="633"/>
      <c r="O154" s="848"/>
      <c r="P154" s="632"/>
      <c r="Q154" s="848"/>
      <c r="R154" s="632"/>
      <c r="S154" s="633"/>
      <c r="T154" s="633"/>
      <c r="U154" s="633"/>
      <c r="V154" s="848"/>
      <c r="W154" s="634"/>
      <c r="X154" s="635"/>
      <c r="AO154" s="61" t="s">
        <v>1240</v>
      </c>
      <c r="AP154" s="143">
        <v>2</v>
      </c>
      <c r="AQ154" s="143"/>
      <c r="AR154" s="143"/>
      <c r="AS154" s="143"/>
      <c r="AT154" s="143">
        <v>2</v>
      </c>
      <c r="AU154" s="143" t="str">
        <f ca="1">IF(AW60&gt;1,"Yes","No")</f>
        <v>No</v>
      </c>
      <c r="AV154" s="143" t="s">
        <v>14</v>
      </c>
      <c r="AW154" s="62">
        <f t="shared" ca="1" si="76"/>
        <v>0</v>
      </c>
      <c r="CC154" s="608" t="str">
        <f t="shared" si="65"/>
        <v/>
      </c>
      <c r="CD154" s="609"/>
      <c r="CE154" s="609"/>
      <c r="CF154" s="452" t="str">
        <f t="shared" si="66"/>
        <v/>
      </c>
      <c r="CG154" s="609" t="str">
        <f t="shared" si="67"/>
        <v/>
      </c>
      <c r="CH154" s="609"/>
      <c r="CI154" s="610"/>
      <c r="CJ154" s="608" t="str">
        <f t="shared" si="68"/>
        <v/>
      </c>
      <c r="CK154" s="609"/>
      <c r="CL154" s="609"/>
      <c r="CM154" s="609"/>
      <c r="CN154" s="459" t="str">
        <f t="shared" si="69"/>
        <v/>
      </c>
      <c r="CO154" s="452" t="str">
        <f t="shared" si="70"/>
        <v/>
      </c>
      <c r="CP154" s="609" t="str">
        <f t="shared" si="71"/>
        <v/>
      </c>
      <c r="CQ154" s="609"/>
      <c r="CR154" s="610"/>
    </row>
    <row r="155" spans="2:96" ht="14.25" customHeight="1" x14ac:dyDescent="0.25">
      <c r="B155" s="641"/>
      <c r="C155" s="642"/>
      <c r="D155" s="642"/>
      <c r="E155" s="642"/>
      <c r="F155" s="643"/>
      <c r="G155" s="285" t="str">
        <f t="shared" si="74"/>
        <v>0</v>
      </c>
      <c r="H155" s="644" t="str">
        <f t="shared" si="75"/>
        <v/>
      </c>
      <c r="I155" s="645"/>
      <c r="L155" s="636"/>
      <c r="M155" s="633"/>
      <c r="N155" s="633"/>
      <c r="O155" s="848"/>
      <c r="P155" s="632"/>
      <c r="Q155" s="848"/>
      <c r="R155" s="632"/>
      <c r="S155" s="633"/>
      <c r="T155" s="633"/>
      <c r="U155" s="633"/>
      <c r="V155" s="848"/>
      <c r="W155" s="634"/>
      <c r="X155" s="635"/>
      <c r="AO155" s="61" t="s">
        <v>2255</v>
      </c>
      <c r="AP155" s="143">
        <v>1</v>
      </c>
      <c r="AQ155" s="143"/>
      <c r="AR155" s="143"/>
      <c r="AS155" s="143"/>
      <c r="AT155" s="143">
        <v>1</v>
      </c>
      <c r="AU155" s="143" t="str">
        <f>IF(AND(covenant1="Carthian Movement",expression&gt;1),"Yes","No")</f>
        <v>No</v>
      </c>
      <c r="AV155" s="143" t="s">
        <v>14</v>
      </c>
      <c r="AW155" s="62">
        <f t="shared" ca="1" si="76"/>
        <v>0</v>
      </c>
      <c r="CC155" s="608" t="str">
        <f t="shared" si="65"/>
        <v/>
      </c>
      <c r="CD155" s="609"/>
      <c r="CE155" s="609"/>
      <c r="CF155" s="452" t="str">
        <f t="shared" si="66"/>
        <v/>
      </c>
      <c r="CG155" s="609" t="str">
        <f t="shared" si="67"/>
        <v/>
      </c>
      <c r="CH155" s="609"/>
      <c r="CI155" s="610"/>
      <c r="CJ155" s="608" t="str">
        <f t="shared" si="68"/>
        <v/>
      </c>
      <c r="CK155" s="609"/>
      <c r="CL155" s="609"/>
      <c r="CM155" s="609"/>
      <c r="CN155" s="459" t="str">
        <f t="shared" si="69"/>
        <v/>
      </c>
      <c r="CO155" s="452" t="str">
        <f t="shared" si="70"/>
        <v/>
      </c>
      <c r="CP155" s="609" t="str">
        <f t="shared" si="71"/>
        <v/>
      </c>
      <c r="CQ155" s="609"/>
      <c r="CR155" s="610"/>
    </row>
    <row r="156" spans="2:96" ht="14.25" customHeight="1" thickBot="1" x14ac:dyDescent="0.3">
      <c r="B156" s="641"/>
      <c r="C156" s="642"/>
      <c r="D156" s="642"/>
      <c r="E156" s="642"/>
      <c r="F156" s="643"/>
      <c r="G156" s="285" t="str">
        <f t="shared" si="74"/>
        <v>0</v>
      </c>
      <c r="H156" s="644" t="str">
        <f t="shared" si="75"/>
        <v/>
      </c>
      <c r="I156" s="645"/>
      <c r="L156" s="859"/>
      <c r="M156" s="860"/>
      <c r="N156" s="860"/>
      <c r="O156" s="861"/>
      <c r="P156" s="862"/>
      <c r="Q156" s="861"/>
      <c r="R156" s="862"/>
      <c r="S156" s="860"/>
      <c r="T156" s="860"/>
      <c r="U156" s="860"/>
      <c r="V156" s="861"/>
      <c r="W156" s="863"/>
      <c r="X156" s="864"/>
      <c r="AO156" s="61" t="s">
        <v>1241</v>
      </c>
      <c r="AP156" s="143">
        <v>1</v>
      </c>
      <c r="AQ156" s="143"/>
      <c r="AR156" s="143"/>
      <c r="AS156" s="143"/>
      <c r="AT156" s="143">
        <v>1</v>
      </c>
      <c r="AU156" s="143" t="str">
        <f>IF(OR(resolve&gt;1,stamina&gt;1,composure&gt;1),"Yes","No")</f>
        <v>No</v>
      </c>
      <c r="AV156" s="143" t="s">
        <v>14</v>
      </c>
      <c r="AW156" s="62">
        <f t="shared" ca="1" si="76"/>
        <v>0</v>
      </c>
      <c r="CC156" s="608" t="str">
        <f t="shared" si="65"/>
        <v/>
      </c>
      <c r="CD156" s="609"/>
      <c r="CE156" s="609"/>
      <c r="CF156" s="452" t="str">
        <f t="shared" si="66"/>
        <v/>
      </c>
      <c r="CG156" s="609" t="str">
        <f t="shared" si="67"/>
        <v/>
      </c>
      <c r="CH156" s="609"/>
      <c r="CI156" s="610"/>
      <c r="CJ156" s="608" t="str">
        <f t="shared" si="68"/>
        <v/>
      </c>
      <c r="CK156" s="609"/>
      <c r="CL156" s="609"/>
      <c r="CM156" s="609"/>
      <c r="CN156" s="459" t="str">
        <f t="shared" si="69"/>
        <v/>
      </c>
      <c r="CO156" s="452" t="str">
        <f t="shared" si="70"/>
        <v/>
      </c>
      <c r="CP156" s="609" t="str">
        <f t="shared" si="71"/>
        <v/>
      </c>
      <c r="CQ156" s="609"/>
      <c r="CR156" s="610"/>
    </row>
    <row r="157" spans="2:96" ht="14.25" customHeight="1" thickTop="1" thickBot="1" x14ac:dyDescent="0.3">
      <c r="B157" s="641"/>
      <c r="C157" s="642"/>
      <c r="D157" s="642"/>
      <c r="E157" s="642"/>
      <c r="F157" s="643"/>
      <c r="G157" s="285" t="str">
        <f t="shared" si="74"/>
        <v>0</v>
      </c>
      <c r="H157" s="644" t="str">
        <f t="shared" si="75"/>
        <v/>
      </c>
      <c r="I157" s="645"/>
      <c r="AO157" s="61" t="s">
        <v>1274</v>
      </c>
      <c r="AP157" s="143" t="s">
        <v>1151</v>
      </c>
      <c r="AQ157" s="143"/>
      <c r="AR157" s="143"/>
      <c r="AS157" s="143"/>
      <c r="AT157" s="143">
        <v>5</v>
      </c>
      <c r="AU157" s="143" t="str">
        <f>IF(covenant1="Invictus","Yes","No")</f>
        <v>No</v>
      </c>
      <c r="AV157" s="143" t="s">
        <v>14</v>
      </c>
      <c r="AW157" s="62">
        <f t="shared" ca="1" si="76"/>
        <v>0</v>
      </c>
      <c r="CC157" s="608" t="str">
        <f t="shared" si="65"/>
        <v/>
      </c>
      <c r="CD157" s="609"/>
      <c r="CE157" s="609"/>
      <c r="CF157" s="452" t="str">
        <f t="shared" si="66"/>
        <v/>
      </c>
      <c r="CG157" s="609" t="str">
        <f t="shared" si="67"/>
        <v/>
      </c>
      <c r="CH157" s="609"/>
      <c r="CI157" s="610"/>
      <c r="CJ157" s="608" t="str">
        <f t="shared" si="68"/>
        <v/>
      </c>
      <c r="CK157" s="609"/>
      <c r="CL157" s="609"/>
      <c r="CM157" s="609"/>
      <c r="CN157" s="459" t="str">
        <f t="shared" si="69"/>
        <v/>
      </c>
      <c r="CO157" s="452" t="str">
        <f t="shared" si="70"/>
        <v/>
      </c>
      <c r="CP157" s="609" t="str">
        <f t="shared" si="71"/>
        <v/>
      </c>
      <c r="CQ157" s="609"/>
      <c r="CR157" s="610"/>
    </row>
    <row r="158" spans="2:96" ht="14.25" customHeight="1" thickTop="1" x14ac:dyDescent="0.25">
      <c r="B158" s="641"/>
      <c r="C158" s="642"/>
      <c r="D158" s="642"/>
      <c r="E158" s="642"/>
      <c r="F158" s="643"/>
      <c r="G158" s="285" t="str">
        <f t="shared" si="74"/>
        <v>0</v>
      </c>
      <c r="H158" s="644" t="str">
        <f t="shared" si="75"/>
        <v/>
      </c>
      <c r="I158" s="645"/>
      <c r="L158" s="637" t="s">
        <v>2005</v>
      </c>
      <c r="M158" s="638"/>
      <c r="N158" s="638"/>
      <c r="O158" s="638"/>
      <c r="P158" s="638"/>
      <c r="Q158" s="638"/>
      <c r="R158" s="195"/>
      <c r="S158" s="344"/>
      <c r="T158" s="344"/>
      <c r="U158" s="344"/>
      <c r="V158" s="344"/>
      <c r="W158" s="345"/>
      <c r="AO158" s="61" t="s">
        <v>1242</v>
      </c>
      <c r="AP158" s="143">
        <v>2</v>
      </c>
      <c r="AQ158" s="143"/>
      <c r="AR158" s="143"/>
      <c r="AS158" s="143"/>
      <c r="AT158" s="143">
        <v>2</v>
      </c>
      <c r="AU158" s="143" t="str">
        <f>IF(stamina&gt;2,"Yes","No")</f>
        <v>No</v>
      </c>
      <c r="AV158" s="143" t="s">
        <v>14</v>
      </c>
      <c r="AW158" s="62">
        <f t="shared" ca="1" si="76"/>
        <v>0</v>
      </c>
      <c r="CC158" s="608" t="str">
        <f t="shared" si="65"/>
        <v/>
      </c>
      <c r="CD158" s="609"/>
      <c r="CE158" s="609"/>
      <c r="CF158" s="452" t="str">
        <f t="shared" si="66"/>
        <v/>
      </c>
      <c r="CG158" s="609" t="str">
        <f t="shared" si="67"/>
        <v/>
      </c>
      <c r="CH158" s="609"/>
      <c r="CI158" s="610"/>
      <c r="CJ158" s="608" t="str">
        <f t="shared" si="68"/>
        <v/>
      </c>
      <c r="CK158" s="609"/>
      <c r="CL158" s="609"/>
      <c r="CM158" s="609"/>
      <c r="CN158" s="459" t="str">
        <f t="shared" si="69"/>
        <v/>
      </c>
      <c r="CO158" s="452" t="str">
        <f t="shared" si="70"/>
        <v/>
      </c>
      <c r="CP158" s="609" t="str">
        <f t="shared" si="71"/>
        <v/>
      </c>
      <c r="CQ158" s="609"/>
      <c r="CR158" s="610"/>
    </row>
    <row r="159" spans="2:96" ht="14.25" customHeight="1" x14ac:dyDescent="0.25">
      <c r="B159" s="641"/>
      <c r="C159" s="642"/>
      <c r="D159" s="642"/>
      <c r="E159" s="642"/>
      <c r="F159" s="643"/>
      <c r="G159" s="285" t="str">
        <f t="shared" si="74"/>
        <v>0</v>
      </c>
      <c r="H159" s="644" t="str">
        <f t="shared" si="75"/>
        <v/>
      </c>
      <c r="I159" s="645"/>
      <c r="L159" s="639"/>
      <c r="M159" s="640"/>
      <c r="N159" s="640"/>
      <c r="O159" s="640"/>
      <c r="P159" s="640"/>
      <c r="Q159" s="640"/>
      <c r="R159" s="45"/>
      <c r="S159" s="46"/>
      <c r="T159" s="46"/>
      <c r="U159" s="46"/>
      <c r="V159" s="46"/>
      <c r="W159" s="346"/>
      <c r="AO159" s="61" t="s">
        <v>1253</v>
      </c>
      <c r="AP159" s="143">
        <v>1</v>
      </c>
      <c r="AQ159" s="143"/>
      <c r="AR159" s="143"/>
      <c r="AS159" s="143"/>
      <c r="AT159" s="143">
        <v>1</v>
      </c>
      <c r="AU159" s="143" t="str">
        <f>IF(OR(wits&gt;2,composure&gt;2),"Yes","No")</f>
        <v>No</v>
      </c>
      <c r="AV159" s="143" t="s">
        <v>14</v>
      </c>
      <c r="AW159" s="62">
        <f t="shared" ca="1" si="76"/>
        <v>0</v>
      </c>
      <c r="CC159" s="608" t="str">
        <f t="shared" si="65"/>
        <v/>
      </c>
      <c r="CD159" s="609"/>
      <c r="CE159" s="609"/>
      <c r="CF159" s="452" t="str">
        <f t="shared" si="66"/>
        <v/>
      </c>
      <c r="CG159" s="609" t="str">
        <f t="shared" si="67"/>
        <v/>
      </c>
      <c r="CH159" s="609"/>
      <c r="CI159" s="610"/>
      <c r="CJ159" s="608" t="str">
        <f t="shared" si="68"/>
        <v/>
      </c>
      <c r="CK159" s="609"/>
      <c r="CL159" s="609"/>
      <c r="CM159" s="609"/>
      <c r="CN159" s="459" t="str">
        <f t="shared" si="69"/>
        <v/>
      </c>
      <c r="CO159" s="452" t="str">
        <f t="shared" si="70"/>
        <v/>
      </c>
      <c r="CP159" s="609" t="str">
        <f t="shared" si="71"/>
        <v/>
      </c>
      <c r="CQ159" s="609"/>
      <c r="CR159" s="610"/>
    </row>
    <row r="160" spans="2:96" ht="14.25" customHeight="1" x14ac:dyDescent="0.25">
      <c r="B160" s="641"/>
      <c r="C160" s="642"/>
      <c r="D160" s="642"/>
      <c r="E160" s="642"/>
      <c r="F160" s="643"/>
      <c r="G160" s="285" t="str">
        <f t="shared" si="74"/>
        <v>0</v>
      </c>
      <c r="H160" s="644" t="str">
        <f t="shared" si="75"/>
        <v/>
      </c>
      <c r="I160" s="645"/>
      <c r="L160" s="651" t="s">
        <v>1346</v>
      </c>
      <c r="M160" s="652"/>
      <c r="N160" s="652"/>
      <c r="O160" s="653"/>
      <c r="P160" s="653"/>
      <c r="Q160" s="653"/>
      <c r="R160" s="652" t="s">
        <v>1346</v>
      </c>
      <c r="S160" s="652"/>
      <c r="T160" s="652"/>
      <c r="U160" s="654"/>
      <c r="V160" s="654"/>
      <c r="W160" s="655"/>
      <c r="AO160" s="61" t="s">
        <v>1254</v>
      </c>
      <c r="AP160" s="143">
        <v>3</v>
      </c>
      <c r="AQ160" s="143"/>
      <c r="AR160" s="143"/>
      <c r="AS160" s="143"/>
      <c r="AT160" s="143">
        <v>3</v>
      </c>
      <c r="AU160" s="143" t="str">
        <f>IF(OR(wits&gt;2,composure&gt;2),"Yes","No")</f>
        <v>No</v>
      </c>
      <c r="AV160" s="143" t="s">
        <v>14</v>
      </c>
      <c r="AW160" s="62">
        <f ca="1">SUMIF($B$46:$C$90,AO160,$D$46:$D$90)</f>
        <v>0</v>
      </c>
      <c r="CC160" s="608" t="str">
        <f t="shared" si="65"/>
        <v/>
      </c>
      <c r="CD160" s="609"/>
      <c r="CE160" s="609"/>
      <c r="CF160" s="452" t="str">
        <f t="shared" si="66"/>
        <v/>
      </c>
      <c r="CG160" s="609" t="str">
        <f t="shared" si="67"/>
        <v/>
      </c>
      <c r="CH160" s="609"/>
      <c r="CI160" s="610"/>
      <c r="CJ160" s="608" t="str">
        <f t="shared" si="68"/>
        <v/>
      </c>
      <c r="CK160" s="609"/>
      <c r="CL160" s="609"/>
      <c r="CM160" s="609"/>
      <c r="CN160" s="459" t="str">
        <f t="shared" si="69"/>
        <v/>
      </c>
      <c r="CO160" s="452" t="str">
        <f t="shared" si="70"/>
        <v/>
      </c>
      <c r="CP160" s="609" t="str">
        <f t="shared" si="71"/>
        <v/>
      </c>
      <c r="CQ160" s="609"/>
      <c r="CR160" s="610"/>
    </row>
    <row r="161" spans="2:96" ht="14.25" customHeight="1" x14ac:dyDescent="0.25">
      <c r="B161" s="641"/>
      <c r="C161" s="642"/>
      <c r="D161" s="642"/>
      <c r="E161" s="642"/>
      <c r="F161" s="643"/>
      <c r="G161" s="285" t="str">
        <f t="shared" si="74"/>
        <v>0</v>
      </c>
      <c r="H161" s="644" t="str">
        <f t="shared" si="75"/>
        <v/>
      </c>
      <c r="I161" s="645"/>
      <c r="L161" s="646"/>
      <c r="M161" s="647"/>
      <c r="N161" s="647"/>
      <c r="O161" s="647"/>
      <c r="P161" s="647"/>
      <c r="Q161" s="648"/>
      <c r="R161" s="649"/>
      <c r="S161" s="647"/>
      <c r="T161" s="647"/>
      <c r="U161" s="647"/>
      <c r="V161" s="647"/>
      <c r="W161" s="650"/>
      <c r="AO161" s="61" t="s">
        <v>1243</v>
      </c>
      <c r="AP161" s="143">
        <v>3</v>
      </c>
      <c r="AQ161" s="143"/>
      <c r="AR161" s="143"/>
      <c r="AS161" s="143"/>
      <c r="AT161" s="143">
        <v>3</v>
      </c>
      <c r="AU161" s="143" t="str">
        <f>IF(composure&gt;2,"Yes","No")</f>
        <v>No</v>
      </c>
      <c r="AV161" s="143" t="s">
        <v>14</v>
      </c>
      <c r="AW161" s="62">
        <f t="shared" ca="1" si="76"/>
        <v>0</v>
      </c>
      <c r="CC161" s="608" t="str">
        <f t="shared" si="65"/>
        <v/>
      </c>
      <c r="CD161" s="609"/>
      <c r="CE161" s="609"/>
      <c r="CF161" s="452" t="str">
        <f t="shared" si="66"/>
        <v/>
      </c>
      <c r="CG161" s="609" t="str">
        <f t="shared" si="67"/>
        <v/>
      </c>
      <c r="CH161" s="609"/>
      <c r="CI161" s="610"/>
      <c r="CJ161" s="608" t="str">
        <f t="shared" si="68"/>
        <v/>
      </c>
      <c r="CK161" s="609"/>
      <c r="CL161" s="609"/>
      <c r="CM161" s="609"/>
      <c r="CN161" s="459" t="str">
        <f t="shared" si="69"/>
        <v/>
      </c>
      <c r="CO161" s="452" t="str">
        <f t="shared" si="70"/>
        <v/>
      </c>
      <c r="CP161" s="609" t="str">
        <f t="shared" si="71"/>
        <v/>
      </c>
      <c r="CQ161" s="609"/>
      <c r="CR161" s="610"/>
    </row>
    <row r="162" spans="2:96" ht="14.25" customHeight="1" x14ac:dyDescent="0.25">
      <c r="B162" s="641"/>
      <c r="C162" s="642"/>
      <c r="D162" s="642"/>
      <c r="E162" s="642"/>
      <c r="F162" s="643"/>
      <c r="G162" s="285" t="str">
        <f t="shared" si="74"/>
        <v>0</v>
      </c>
      <c r="H162" s="644" t="str">
        <f t="shared" si="75"/>
        <v/>
      </c>
      <c r="I162" s="645"/>
      <c r="L162" s="646"/>
      <c r="M162" s="647"/>
      <c r="N162" s="647"/>
      <c r="O162" s="647"/>
      <c r="P162" s="647"/>
      <c r="Q162" s="648"/>
      <c r="R162" s="649"/>
      <c r="S162" s="647"/>
      <c r="T162" s="647"/>
      <c r="U162" s="647"/>
      <c r="V162" s="647"/>
      <c r="W162" s="650"/>
      <c r="AO162" s="61" t="s">
        <v>2256</v>
      </c>
      <c r="AP162" s="143">
        <v>3</v>
      </c>
      <c r="AQ162" s="143"/>
      <c r="AR162" s="143"/>
      <c r="AS162" s="143"/>
      <c r="AT162" s="143">
        <v>3</v>
      </c>
      <c r="AU162" s="143" t="str">
        <f>IF(clan1="Nosferatu","Yes","No")</f>
        <v>No</v>
      </c>
      <c r="AV162" s="143" t="s">
        <v>14</v>
      </c>
      <c r="AW162" s="62">
        <f t="shared" ca="1" si="76"/>
        <v>0</v>
      </c>
      <c r="CC162" s="608" t="str">
        <f t="shared" si="65"/>
        <v/>
      </c>
      <c r="CD162" s="609"/>
      <c r="CE162" s="609"/>
      <c r="CF162" s="452" t="str">
        <f t="shared" si="66"/>
        <v/>
      </c>
      <c r="CG162" s="609" t="str">
        <f t="shared" si="67"/>
        <v/>
      </c>
      <c r="CH162" s="609"/>
      <c r="CI162" s="610"/>
      <c r="CJ162" s="608" t="str">
        <f t="shared" si="68"/>
        <v/>
      </c>
      <c r="CK162" s="609"/>
      <c r="CL162" s="609"/>
      <c r="CM162" s="609"/>
      <c r="CN162" s="459" t="str">
        <f t="shared" si="69"/>
        <v/>
      </c>
      <c r="CO162" s="452" t="str">
        <f t="shared" si="70"/>
        <v/>
      </c>
      <c r="CP162" s="609" t="str">
        <f t="shared" si="71"/>
        <v/>
      </c>
      <c r="CQ162" s="609"/>
      <c r="CR162" s="610"/>
    </row>
    <row r="163" spans="2:96" ht="14.25" customHeight="1" x14ac:dyDescent="0.25">
      <c r="B163" s="641"/>
      <c r="C163" s="642"/>
      <c r="D163" s="642"/>
      <c r="E163" s="642"/>
      <c r="F163" s="643"/>
      <c r="G163" s="285" t="str">
        <f t="shared" si="74"/>
        <v>0</v>
      </c>
      <c r="H163" s="644" t="str">
        <f t="shared" si="75"/>
        <v/>
      </c>
      <c r="I163" s="645"/>
      <c r="L163" s="646"/>
      <c r="M163" s="647"/>
      <c r="N163" s="647"/>
      <c r="O163" s="647"/>
      <c r="P163" s="647"/>
      <c r="Q163" s="648"/>
      <c r="R163" s="649"/>
      <c r="S163" s="647"/>
      <c r="T163" s="647"/>
      <c r="U163" s="647"/>
      <c r="V163" s="647"/>
      <c r="W163" s="650"/>
      <c r="AO163" s="61" t="s">
        <v>1244</v>
      </c>
      <c r="AP163" s="143">
        <v>3</v>
      </c>
      <c r="AQ163" s="143"/>
      <c r="AR163" s="143"/>
      <c r="AS163" s="143"/>
      <c r="AT163" s="143">
        <v>3</v>
      </c>
      <c r="AU163" s="143" t="str">
        <f>IF(stealth&gt;1,"Yes","No")</f>
        <v>No</v>
      </c>
      <c r="AV163" s="143" t="s">
        <v>2265</v>
      </c>
      <c r="AW163" s="62">
        <f t="shared" ca="1" si="76"/>
        <v>0</v>
      </c>
      <c r="CC163" s="608" t="str">
        <f t="shared" si="65"/>
        <v/>
      </c>
      <c r="CD163" s="609"/>
      <c r="CE163" s="609"/>
      <c r="CF163" s="452" t="str">
        <f t="shared" si="66"/>
        <v/>
      </c>
      <c r="CG163" s="609" t="str">
        <f t="shared" si="67"/>
        <v/>
      </c>
      <c r="CH163" s="609"/>
      <c r="CI163" s="610"/>
      <c r="CJ163" s="608" t="str">
        <f t="shared" si="68"/>
        <v/>
      </c>
      <c r="CK163" s="609"/>
      <c r="CL163" s="609"/>
      <c r="CM163" s="609"/>
      <c r="CN163" s="459" t="str">
        <f t="shared" si="69"/>
        <v/>
      </c>
      <c r="CO163" s="452" t="str">
        <f t="shared" si="70"/>
        <v/>
      </c>
      <c r="CP163" s="609" t="str">
        <f t="shared" si="71"/>
        <v/>
      </c>
      <c r="CQ163" s="609"/>
      <c r="CR163" s="610"/>
    </row>
    <row r="164" spans="2:96" ht="14.25" customHeight="1" x14ac:dyDescent="0.25">
      <c r="B164" s="641"/>
      <c r="C164" s="642"/>
      <c r="D164" s="642"/>
      <c r="E164" s="642"/>
      <c r="F164" s="643"/>
      <c r="G164" s="285" t="str">
        <f t="shared" si="74"/>
        <v>0</v>
      </c>
      <c r="H164" s="644" t="str">
        <f t="shared" si="75"/>
        <v/>
      </c>
      <c r="I164" s="645"/>
      <c r="L164" s="646"/>
      <c r="M164" s="647"/>
      <c r="N164" s="647"/>
      <c r="O164" s="647"/>
      <c r="P164" s="647"/>
      <c r="Q164" s="648"/>
      <c r="R164" s="649"/>
      <c r="S164" s="647"/>
      <c r="T164" s="647"/>
      <c r="U164" s="647"/>
      <c r="V164" s="647"/>
      <c r="W164" s="650"/>
      <c r="AO164" s="61" t="s">
        <v>1265</v>
      </c>
      <c r="AP164" s="143">
        <v>3</v>
      </c>
      <c r="AQ164" s="143"/>
      <c r="AR164" s="143"/>
      <c r="AS164" s="143"/>
      <c r="AT164" s="143">
        <v>3</v>
      </c>
      <c r="AU164" s="143" t="str">
        <f>IF(clan1="Nosferatu","Yes","No")</f>
        <v>No</v>
      </c>
      <c r="AV164" s="143" t="s">
        <v>14</v>
      </c>
      <c r="AW164" s="62">
        <f t="shared" ca="1" si="76"/>
        <v>0</v>
      </c>
      <c r="CC164" s="608" t="str">
        <f t="shared" si="65"/>
        <v/>
      </c>
      <c r="CD164" s="609"/>
      <c r="CE164" s="609"/>
      <c r="CF164" s="452" t="str">
        <f t="shared" si="66"/>
        <v/>
      </c>
      <c r="CG164" s="609" t="str">
        <f t="shared" si="67"/>
        <v/>
      </c>
      <c r="CH164" s="609"/>
      <c r="CI164" s="610"/>
      <c r="CJ164" s="608" t="str">
        <f t="shared" si="68"/>
        <v/>
      </c>
      <c r="CK164" s="609"/>
      <c r="CL164" s="609"/>
      <c r="CM164" s="609"/>
      <c r="CN164" s="459" t="str">
        <f t="shared" si="69"/>
        <v/>
      </c>
      <c r="CO164" s="452" t="str">
        <f t="shared" si="70"/>
        <v/>
      </c>
      <c r="CP164" s="609" t="str">
        <f t="shared" si="71"/>
        <v/>
      </c>
      <c r="CQ164" s="609"/>
      <c r="CR164" s="610"/>
    </row>
    <row r="165" spans="2:96" ht="14.25" customHeight="1" x14ac:dyDescent="0.25">
      <c r="B165" s="641"/>
      <c r="C165" s="642"/>
      <c r="D165" s="642"/>
      <c r="E165" s="642"/>
      <c r="F165" s="643"/>
      <c r="G165" s="285" t="str">
        <f t="shared" si="74"/>
        <v>0</v>
      </c>
      <c r="H165" s="644" t="str">
        <f t="shared" si="75"/>
        <v/>
      </c>
      <c r="I165" s="645"/>
      <c r="L165" s="646"/>
      <c r="M165" s="647"/>
      <c r="N165" s="647"/>
      <c r="O165" s="647"/>
      <c r="P165" s="647"/>
      <c r="Q165" s="648"/>
      <c r="R165" s="649"/>
      <c r="S165" s="647"/>
      <c r="T165" s="647"/>
      <c r="U165" s="647"/>
      <c r="V165" s="647"/>
      <c r="W165" s="650"/>
      <c r="AO165" s="61" t="s">
        <v>1266</v>
      </c>
      <c r="AP165" s="143">
        <v>4</v>
      </c>
      <c r="AQ165" s="143"/>
      <c r="AR165" s="143"/>
      <c r="AS165" s="143"/>
      <c r="AT165" s="143">
        <v>4</v>
      </c>
      <c r="AU165" s="143" t="str">
        <f>IF(clan1="Nosferatu","Yes","No")</f>
        <v>No</v>
      </c>
      <c r="AV165" s="143" t="s">
        <v>14</v>
      </c>
      <c r="AW165" s="62">
        <f t="shared" ca="1" si="76"/>
        <v>0</v>
      </c>
      <c r="CC165" s="463"/>
      <c r="CD165" s="463"/>
      <c r="CE165" s="463"/>
      <c r="CF165" s="462"/>
      <c r="CG165" s="463"/>
      <c r="CH165" s="463"/>
      <c r="CI165" s="463"/>
      <c r="CJ165" s="462"/>
      <c r="CK165" s="462"/>
      <c r="CL165" s="462"/>
      <c r="CM165" s="462"/>
      <c r="CN165" s="462"/>
      <c r="CO165" s="462"/>
      <c r="CP165" s="462"/>
      <c r="CQ165" s="462"/>
      <c r="CR165" s="462"/>
    </row>
    <row r="166" spans="2:96" ht="14.25" customHeight="1" thickBot="1" x14ac:dyDescent="0.3">
      <c r="B166" s="641"/>
      <c r="C166" s="642"/>
      <c r="D166" s="642"/>
      <c r="E166" s="642"/>
      <c r="F166" s="643"/>
      <c r="G166" s="285" t="str">
        <f t="shared" si="74"/>
        <v>0</v>
      </c>
      <c r="H166" s="644" t="str">
        <f t="shared" si="75"/>
        <v/>
      </c>
      <c r="I166" s="645"/>
      <c r="L166" s="347"/>
      <c r="M166" s="348"/>
      <c r="N166" s="348"/>
      <c r="O166" s="349"/>
      <c r="P166" s="349"/>
      <c r="Q166" s="349"/>
      <c r="R166" s="350"/>
      <c r="S166" s="49"/>
      <c r="T166" s="49"/>
      <c r="U166" s="49"/>
      <c r="V166" s="49"/>
      <c r="W166" s="135"/>
      <c r="AO166" s="61" t="s">
        <v>2257</v>
      </c>
      <c r="AP166" s="143">
        <v>2</v>
      </c>
      <c r="AQ166" s="143"/>
      <c r="AR166" s="143"/>
      <c r="AS166" s="143"/>
      <c r="AT166" s="143">
        <v>2</v>
      </c>
      <c r="AU166" s="143" t="str">
        <f>IF(AND(BP&gt;2,humanity&lt;4),"Yes","No")</f>
        <v>No</v>
      </c>
      <c r="AV166" s="143" t="s">
        <v>14</v>
      </c>
      <c r="AW166" s="62">
        <f t="shared" ca="1" si="76"/>
        <v>0</v>
      </c>
      <c r="CC166" s="465"/>
      <c r="CD166" s="465"/>
      <c r="CE166" s="465"/>
      <c r="CF166" s="464"/>
      <c r="CG166" s="465"/>
      <c r="CH166" s="465"/>
      <c r="CI166" s="465"/>
      <c r="CJ166" s="464"/>
      <c r="CK166" s="464"/>
      <c r="CL166" s="464"/>
      <c r="CM166" s="464"/>
      <c r="CN166" s="464"/>
      <c r="CO166" s="464"/>
      <c r="CP166" s="464"/>
      <c r="CQ166" s="464"/>
      <c r="CR166" s="464"/>
    </row>
    <row r="167" spans="2:96" ht="14.25" customHeight="1" thickTop="1" thickBot="1" x14ac:dyDescent="0.3">
      <c r="B167" s="641"/>
      <c r="C167" s="642"/>
      <c r="D167" s="642"/>
      <c r="E167" s="642"/>
      <c r="F167" s="643"/>
      <c r="G167" s="285" t="str">
        <f t="shared" si="74"/>
        <v>0</v>
      </c>
      <c r="H167" s="644" t="str">
        <f t="shared" si="75"/>
        <v/>
      </c>
      <c r="I167" s="645"/>
      <c r="L167" s="358"/>
      <c r="M167" s="561"/>
      <c r="N167" s="561"/>
      <c r="AO167" s="61" t="s">
        <v>2258</v>
      </c>
      <c r="AP167" s="143">
        <v>3</v>
      </c>
      <c r="AQ167" s="143"/>
      <c r="AR167" s="143"/>
      <c r="AS167" s="143"/>
      <c r="AT167" s="143">
        <v>3</v>
      </c>
      <c r="AU167" s="143" t="str">
        <f>IF(covenant1="Invictus","Yes","No")</f>
        <v>No</v>
      </c>
      <c r="AV167" s="143" t="s">
        <v>14</v>
      </c>
      <c r="AW167" s="62">
        <f t="shared" ca="1" si="76"/>
        <v>0</v>
      </c>
      <c r="CC167" s="465"/>
      <c r="CD167" s="465"/>
      <c r="CE167" s="465"/>
      <c r="CF167" s="464"/>
      <c r="CG167" s="465"/>
      <c r="CH167" s="465"/>
      <c r="CI167" s="465"/>
      <c r="CJ167" s="464"/>
      <c r="CK167" s="464"/>
      <c r="CL167" s="464"/>
      <c r="CM167" s="464"/>
      <c r="CN167" s="464"/>
      <c r="CO167" s="464"/>
      <c r="CP167" s="464"/>
      <c r="CQ167" s="464"/>
      <c r="CR167" s="464"/>
    </row>
    <row r="168" spans="2:96" ht="14.25" customHeight="1" thickTop="1" x14ac:dyDescent="0.25">
      <c r="B168" s="641"/>
      <c r="C168" s="642"/>
      <c r="D168" s="642"/>
      <c r="E168" s="642"/>
      <c r="F168" s="643"/>
      <c r="G168" s="285" t="str">
        <f t="shared" si="74"/>
        <v>0</v>
      </c>
      <c r="H168" s="644" t="str">
        <f t="shared" si="75"/>
        <v/>
      </c>
      <c r="I168" s="645"/>
      <c r="L168" s="617" t="s">
        <v>2003</v>
      </c>
      <c r="M168" s="618"/>
      <c r="N168" s="619"/>
      <c r="O168" s="287"/>
      <c r="P168" s="287"/>
      <c r="Q168" s="287"/>
      <c r="R168" s="287"/>
      <c r="S168" s="287"/>
      <c r="T168" s="287"/>
      <c r="U168" s="288"/>
      <c r="AO168" s="61" t="s">
        <v>1245</v>
      </c>
      <c r="AP168" s="143" t="s">
        <v>1151</v>
      </c>
      <c r="AQ168" s="143"/>
      <c r="AR168" s="143"/>
      <c r="AS168" s="143"/>
      <c r="AT168" s="143">
        <v>5</v>
      </c>
      <c r="AU168" s="143" t="str">
        <f>IF(OR(intelligence&gt;3,wits&gt;3,resolve&gt;3,composure&gt;3),"Yes","No")</f>
        <v>No</v>
      </c>
      <c r="AV168" s="143" t="s">
        <v>14</v>
      </c>
      <c r="AW168" s="62">
        <f t="shared" ca="1" si="76"/>
        <v>0</v>
      </c>
      <c r="CC168" s="659" t="str">
        <f>CONCATENATE("Player Name: ",IF(playername&lt;&gt;"",playername,""))</f>
        <v xml:space="preserve">Player Name: </v>
      </c>
      <c r="CD168" s="660"/>
      <c r="CE168" s="660"/>
      <c r="CF168" s="660"/>
      <c r="CG168" s="660"/>
      <c r="CH168" s="660" t="str">
        <f>CONCATENATE("Local Storyteller: ",IF(stname&lt;&gt;"",stname,""))</f>
        <v xml:space="preserve">Local Storyteller: </v>
      </c>
      <c r="CI168" s="660"/>
      <c r="CJ168" s="660"/>
      <c r="CK168" s="660"/>
      <c r="CL168" s="660"/>
      <c r="CM168" s="660" t="str">
        <f>CONCATENATE("Direct Coordinator: ",IF(coordinatorname&lt;&gt;"",coordinatorname,""))</f>
        <v xml:space="preserve">Direct Coordinator: </v>
      </c>
      <c r="CN168" s="660"/>
      <c r="CO168" s="660"/>
      <c r="CP168" s="660"/>
      <c r="CQ168" s="660"/>
      <c r="CR168" s="661"/>
    </row>
    <row r="169" spans="2:96" ht="14.25" customHeight="1" x14ac:dyDescent="0.25">
      <c r="B169" s="641"/>
      <c r="C169" s="642"/>
      <c r="D169" s="642"/>
      <c r="E169" s="642"/>
      <c r="F169" s="643"/>
      <c r="G169" s="285" t="str">
        <f t="shared" si="74"/>
        <v>0</v>
      </c>
      <c r="H169" s="644" t="str">
        <f t="shared" si="75"/>
        <v/>
      </c>
      <c r="I169" s="645"/>
      <c r="L169" s="620"/>
      <c r="M169" s="621"/>
      <c r="N169" s="622"/>
      <c r="O169" s="289"/>
      <c r="P169" s="289"/>
      <c r="Q169" s="289"/>
      <c r="R169" s="289"/>
      <c r="S169" s="289"/>
      <c r="T169" s="289"/>
      <c r="U169" s="290"/>
      <c r="AO169" s="61" t="s">
        <v>2259</v>
      </c>
      <c r="AP169" s="143">
        <v>1</v>
      </c>
      <c r="AQ169" s="143"/>
      <c r="AR169" s="143"/>
      <c r="AS169" s="143"/>
      <c r="AT169" s="143">
        <v>1</v>
      </c>
      <c r="AU169" s="143" t="str">
        <f>IF(BP&gt;2,"Yes","No")</f>
        <v>No</v>
      </c>
      <c r="AV169" s="143" t="s">
        <v>14</v>
      </c>
      <c r="AW169" s="62">
        <f t="shared" ca="1" si="76"/>
        <v>0</v>
      </c>
      <c r="CC169" s="608" t="str">
        <f>CONCATENATE("Email Address: ",IF(emailaddress&lt;&gt;"",emailaddress,""))</f>
        <v xml:space="preserve">Email Address: </v>
      </c>
      <c r="CD169" s="609"/>
      <c r="CE169" s="609"/>
      <c r="CF169" s="609"/>
      <c r="CG169" s="609"/>
      <c r="CH169" s="609" t="str">
        <f>CONCATENATE("Storyteller Email: ",IF(stemail&lt;&gt;"",stemail,""))</f>
        <v xml:space="preserve">Storyteller Email: </v>
      </c>
      <c r="CI169" s="609"/>
      <c r="CJ169" s="609"/>
      <c r="CK169" s="609"/>
      <c r="CL169" s="609"/>
      <c r="CM169" s="609" t="str">
        <f>CONCATENATE("Coordinator Email: ",IF(cemail&lt;&gt;"",cemail,""))</f>
        <v xml:space="preserve">Coordinator Email: </v>
      </c>
      <c r="CN169" s="609"/>
      <c r="CO169" s="609"/>
      <c r="CP169" s="609"/>
      <c r="CQ169" s="609"/>
      <c r="CR169" s="610"/>
    </row>
    <row r="170" spans="2:96" ht="14.25" customHeight="1" x14ac:dyDescent="0.25">
      <c r="B170" s="641"/>
      <c r="C170" s="642"/>
      <c r="D170" s="642"/>
      <c r="E170" s="642"/>
      <c r="F170" s="643"/>
      <c r="G170" s="285" t="str">
        <f t="shared" si="74"/>
        <v>0</v>
      </c>
      <c r="H170" s="644" t="str">
        <f t="shared" si="75"/>
        <v/>
      </c>
      <c r="I170" s="645"/>
      <c r="L170" s="623" t="s">
        <v>1</v>
      </c>
      <c r="M170" s="624"/>
      <c r="N170" s="625"/>
      <c r="O170" s="626"/>
      <c r="P170" s="627" t="s">
        <v>775</v>
      </c>
      <c r="Q170" s="628"/>
      <c r="R170" s="628"/>
      <c r="S170" s="628"/>
      <c r="T170" s="627" t="s">
        <v>2004</v>
      </c>
      <c r="U170" s="629"/>
      <c r="AO170" s="61" t="s">
        <v>1258</v>
      </c>
      <c r="AP170" s="143">
        <v>3</v>
      </c>
      <c r="AQ170" s="143"/>
      <c r="AR170" s="143"/>
      <c r="AS170" s="143"/>
      <c r="AT170" s="143">
        <v>3</v>
      </c>
      <c r="AU170" s="143" t="str">
        <f>IF(clan1="Daeva","Yes","No")</f>
        <v>No</v>
      </c>
      <c r="AV170" s="143" t="s">
        <v>14</v>
      </c>
      <c r="AW170" s="62">
        <f t="shared" ca="1" si="76"/>
        <v>0</v>
      </c>
      <c r="CC170" s="611" t="str">
        <f>CONCATENATE("Membership ID: ",IF(membernumber&lt;&gt;"",membernumber,""))</f>
        <v xml:space="preserve">Membership ID: </v>
      </c>
      <c r="CD170" s="612"/>
      <c r="CE170" s="612"/>
      <c r="CF170" s="612"/>
      <c r="CG170" s="612"/>
      <c r="CH170" s="612" t="str">
        <f>CONCATENATE("Primary/Secondary: ",IF(priorsec&lt;&gt;"",priorsec,""))</f>
        <v xml:space="preserve">Primary/Secondary: </v>
      </c>
      <c r="CI170" s="612"/>
      <c r="CJ170" s="612"/>
      <c r="CK170" s="612"/>
      <c r="CL170" s="612"/>
      <c r="CM170" s="612" t="str">
        <f>CONCATENATE("Character Domain: ",IF(chardomain&lt;&gt;"",chardomain,""))</f>
        <v xml:space="preserve">Character Domain: </v>
      </c>
      <c r="CN170" s="612"/>
      <c r="CO170" s="612"/>
      <c r="CP170" s="612"/>
      <c r="CQ170" s="612"/>
      <c r="CR170" s="613"/>
    </row>
    <row r="171" spans="2:96" ht="14.25" customHeight="1" x14ac:dyDescent="0.25">
      <c r="B171" s="641"/>
      <c r="C171" s="642"/>
      <c r="D171" s="642"/>
      <c r="E171" s="642"/>
      <c r="F171" s="643"/>
      <c r="G171" s="285" t="str">
        <f t="shared" si="74"/>
        <v>0</v>
      </c>
      <c r="H171" s="644" t="str">
        <f t="shared" si="75"/>
        <v/>
      </c>
      <c r="I171" s="645"/>
      <c r="L171" s="630"/>
      <c r="M171" s="631"/>
      <c r="N171" s="631"/>
      <c r="O171" s="631"/>
      <c r="P171" s="632"/>
      <c r="Q171" s="633"/>
      <c r="R171" s="633"/>
      <c r="S171" s="633"/>
      <c r="T171" s="634"/>
      <c r="U171" s="635"/>
      <c r="AO171" s="61" t="s">
        <v>1259</v>
      </c>
      <c r="AP171" s="143">
        <v>5</v>
      </c>
      <c r="AQ171" s="143"/>
      <c r="AR171" s="143"/>
      <c r="AS171" s="143"/>
      <c r="AT171" s="143">
        <v>5</v>
      </c>
      <c r="AU171" s="143" t="str">
        <f>IF(clan1="Daeva","Yes","No")</f>
        <v>No</v>
      </c>
      <c r="AV171" s="143" t="s">
        <v>14</v>
      </c>
      <c r="AW171" s="62">
        <f t="shared" ca="1" si="76"/>
        <v>0</v>
      </c>
      <c r="CC171" s="358"/>
      <c r="CD171" s="358"/>
      <c r="CE171" s="358"/>
      <c r="CF171" s="358"/>
      <c r="CG171" s="358"/>
      <c r="CH171" s="358"/>
      <c r="CI171" s="358"/>
      <c r="CJ171" s="358"/>
      <c r="CK171" s="358"/>
      <c r="CL171" s="358"/>
      <c r="CM171" s="358"/>
      <c r="CN171" s="358"/>
      <c r="CO171" s="358"/>
      <c r="CP171" s="358"/>
      <c r="CQ171" s="358"/>
      <c r="CR171" s="358"/>
    </row>
    <row r="172" spans="2:96" ht="14.25" customHeight="1" x14ac:dyDescent="0.25">
      <c r="B172" s="641"/>
      <c r="C172" s="642"/>
      <c r="D172" s="642"/>
      <c r="E172" s="642"/>
      <c r="F172" s="643"/>
      <c r="G172" s="285" t="str">
        <f t="shared" ref="G172:G176" si="81">IFERROR(VLOOKUP(B172,DevotionChart,8,FALSE),"0")</f>
        <v>0</v>
      </c>
      <c r="H172" s="644" t="str">
        <f t="shared" ref="H172:H176" si="82">IFERROR(VLOOKUP(B172,DevotionChart,6,FALSE),"")</f>
        <v/>
      </c>
      <c r="I172" s="645"/>
      <c r="L172" s="636"/>
      <c r="M172" s="633"/>
      <c r="N172" s="633"/>
      <c r="O172" s="633"/>
      <c r="P172" s="632"/>
      <c r="Q172" s="633"/>
      <c r="R172" s="633"/>
      <c r="S172" s="633"/>
      <c r="T172" s="634"/>
      <c r="U172" s="635"/>
      <c r="AO172" s="61" t="s">
        <v>1283</v>
      </c>
      <c r="AP172" s="143">
        <v>2</v>
      </c>
      <c r="AQ172" s="143"/>
      <c r="AR172" s="143"/>
      <c r="AS172" s="143"/>
      <c r="AT172" s="143">
        <v>2</v>
      </c>
      <c r="AU172" s="143" t="str">
        <f ca="1">IF(AND(dexterity&gt;2,brawl&gt;2,weaponry&gt;2,OR(AW55&gt;3,AW56&gt;3)),"Yes","No")</f>
        <v>No</v>
      </c>
      <c r="AV172" s="143" t="s">
        <v>14</v>
      </c>
      <c r="AW172" s="62">
        <f t="shared" ca="1" si="76"/>
        <v>0</v>
      </c>
      <c r="CC172" s="905" t="s">
        <v>178</v>
      </c>
      <c r="CD172" s="906"/>
      <c r="CE172" s="906" t="s">
        <v>1</v>
      </c>
      <c r="CF172" s="906"/>
      <c r="CG172" s="906"/>
      <c r="CH172" s="473" t="s">
        <v>1865</v>
      </c>
      <c r="CI172" s="907" t="s">
        <v>1866</v>
      </c>
      <c r="CJ172" s="907"/>
      <c r="CK172" s="907"/>
      <c r="CL172" s="908"/>
      <c r="CM172" s="668" t="s">
        <v>2201</v>
      </c>
      <c r="CN172" s="669"/>
      <c r="CO172" s="669"/>
      <c r="CP172" s="669"/>
      <c r="CQ172" s="669"/>
      <c r="CR172" s="670"/>
    </row>
    <row r="173" spans="2:96" ht="14.25" customHeight="1" x14ac:dyDescent="0.25">
      <c r="B173" s="641"/>
      <c r="C173" s="642"/>
      <c r="D173" s="642"/>
      <c r="E173" s="642"/>
      <c r="F173" s="643"/>
      <c r="G173" s="285" t="str">
        <f t="shared" si="81"/>
        <v>0</v>
      </c>
      <c r="H173" s="644" t="str">
        <f t="shared" si="82"/>
        <v/>
      </c>
      <c r="I173" s="645"/>
      <c r="L173" s="636"/>
      <c r="M173" s="633"/>
      <c r="N173" s="633"/>
      <c r="O173" s="633"/>
      <c r="P173" s="632"/>
      <c r="Q173" s="633"/>
      <c r="R173" s="633"/>
      <c r="S173" s="633"/>
      <c r="T173" s="634"/>
      <c r="U173" s="635"/>
      <c r="AO173" s="61" t="s">
        <v>1246</v>
      </c>
      <c r="AP173" s="143">
        <v>1</v>
      </c>
      <c r="AQ173" s="143"/>
      <c r="AR173" s="143"/>
      <c r="AS173" s="143"/>
      <c r="AT173" s="143">
        <v>1</v>
      </c>
      <c r="AU173" s="143" t="str">
        <f>IF(AND(strength&gt;1,weaponry&gt;0),"Yes","No")</f>
        <v>No</v>
      </c>
      <c r="AV173" s="143" t="s">
        <v>14</v>
      </c>
      <c r="AW173" s="62">
        <f t="shared" ca="1" si="76"/>
        <v>0</v>
      </c>
      <c r="CC173" s="659" t="str">
        <f>IF(cruac&gt;0,CONCATENATE(cruac," levels of Cruac"),"")</f>
        <v/>
      </c>
      <c r="CD173" s="660"/>
      <c r="CE173" s="660"/>
      <c r="CF173" s="660"/>
      <c r="CG173" s="660"/>
      <c r="CH173" s="474" t="str">
        <f>IF(cruac&gt;0,manipulation+IF(occult=0,-3,occult)+cruac,"")</f>
        <v/>
      </c>
      <c r="CI173" s="660" t="str">
        <f>IF(cruac&gt;0,"Varies","")</f>
        <v/>
      </c>
      <c r="CJ173" s="660"/>
      <c r="CK173" s="660"/>
      <c r="CL173" s="661"/>
      <c r="CM173" s="659" t="str">
        <f t="shared" ref="CM173:CM185" si="83">IF(B78&lt;&gt;"",IF(VLOOKUP(B78,MeritTable,3,TRUE)="Share",CONCATENATE(B78," (",AL78,")"),B78),"")</f>
        <v/>
      </c>
      <c r="CN173" s="660"/>
      <c r="CO173" s="660"/>
      <c r="CP173" s="660"/>
      <c r="CQ173" s="660" t="str">
        <f t="shared" ref="CQ173:CQ185" si="84">IF(B78&lt;&gt;"",VLOOKUP(D78,dotchart,4,FALSE),"")</f>
        <v/>
      </c>
      <c r="CR173" s="661"/>
    </row>
    <row r="174" spans="2:96" ht="14.25" customHeight="1" x14ac:dyDescent="0.25">
      <c r="B174" s="641"/>
      <c r="C174" s="642"/>
      <c r="D174" s="642"/>
      <c r="E174" s="642"/>
      <c r="F174" s="643"/>
      <c r="G174" s="285" t="str">
        <f t="shared" si="81"/>
        <v>0</v>
      </c>
      <c r="H174" s="644" t="str">
        <f t="shared" si="82"/>
        <v/>
      </c>
      <c r="I174" s="645"/>
      <c r="L174" s="636"/>
      <c r="M174" s="633"/>
      <c r="N174" s="633"/>
      <c r="O174" s="633"/>
      <c r="P174" s="632"/>
      <c r="Q174" s="633"/>
      <c r="R174" s="633"/>
      <c r="S174" s="633"/>
      <c r="T174" s="634"/>
      <c r="U174" s="635"/>
      <c r="AO174" s="61" t="s">
        <v>1247</v>
      </c>
      <c r="AP174" s="143">
        <v>1</v>
      </c>
      <c r="AQ174" s="143"/>
      <c r="AR174" s="143"/>
      <c r="AS174" s="143"/>
      <c r="AT174" s="143">
        <v>1</v>
      </c>
      <c r="AU174" s="143" t="s">
        <v>806</v>
      </c>
      <c r="AV174" s="143" t="s">
        <v>14</v>
      </c>
      <c r="AW174" s="62">
        <f t="shared" ca="1" si="76"/>
        <v>0</v>
      </c>
      <c r="CC174" s="608" t="str">
        <f>IF(ThebanSorcery&gt;0,CONCATENATE(ThebanSorcery," levels of Theban"),"")</f>
        <v/>
      </c>
      <c r="CD174" s="609"/>
      <c r="CE174" s="609"/>
      <c r="CF174" s="609"/>
      <c r="CG174" s="609"/>
      <c r="CH174" s="452" t="str">
        <f>IF(ThebanSorcery&gt;0,intelligence+IF(academics=0,-3,academics)+ThebanSorcery,"")</f>
        <v/>
      </c>
      <c r="CI174" s="609" t="str">
        <f>IF(ThebanSorcery&gt;0,"Varies","")</f>
        <v/>
      </c>
      <c r="CJ174" s="609"/>
      <c r="CK174" s="609"/>
      <c r="CL174" s="610"/>
      <c r="CM174" s="608" t="str">
        <f t="shared" si="83"/>
        <v/>
      </c>
      <c r="CN174" s="609"/>
      <c r="CO174" s="609"/>
      <c r="CP174" s="609"/>
      <c r="CQ174" s="609" t="str">
        <f t="shared" si="84"/>
        <v/>
      </c>
      <c r="CR174" s="610"/>
    </row>
    <row r="175" spans="2:96" ht="14.25" customHeight="1" thickBot="1" x14ac:dyDescent="0.3">
      <c r="B175" s="641"/>
      <c r="C175" s="642"/>
      <c r="D175" s="642"/>
      <c r="E175" s="642"/>
      <c r="F175" s="643"/>
      <c r="G175" s="285" t="str">
        <f t="shared" si="81"/>
        <v>0</v>
      </c>
      <c r="H175" s="644" t="str">
        <f t="shared" si="82"/>
        <v/>
      </c>
      <c r="I175" s="645"/>
      <c r="L175" s="859"/>
      <c r="M175" s="860"/>
      <c r="N175" s="860"/>
      <c r="O175" s="860"/>
      <c r="P175" s="862"/>
      <c r="Q175" s="860"/>
      <c r="R175" s="860"/>
      <c r="S175" s="860"/>
      <c r="T175" s="863"/>
      <c r="U175" s="864"/>
      <c r="AO175" s="61" t="s">
        <v>1248</v>
      </c>
      <c r="AP175" s="143">
        <v>2</v>
      </c>
      <c r="AQ175" s="143"/>
      <c r="AR175" s="143"/>
      <c r="AS175" s="143"/>
      <c r="AT175" s="143">
        <v>2</v>
      </c>
      <c r="AU175" s="143" t="str">
        <f>IF(AND(dexterity&gt;1,drive&gt;1),"Yes","No")</f>
        <v>No</v>
      </c>
      <c r="AV175" s="143" t="s">
        <v>14</v>
      </c>
      <c r="AW175" s="62">
        <f t="shared" ca="1" si="76"/>
        <v>0</v>
      </c>
      <c r="CC175" s="608" t="str">
        <f>IF(breath&gt;=1,"Breath Drinking 1","")</f>
        <v/>
      </c>
      <c r="CD175" s="609"/>
      <c r="CE175" s="609" t="str">
        <f t="shared" ref="CE175:CE184" si="85">IF(CC175&lt;&gt;"",VLOOKUP(CC175,Disciplinechart,2,FALSE),"")</f>
        <v/>
      </c>
      <c r="CF175" s="609"/>
      <c r="CG175" s="609"/>
      <c r="CH175" s="452" t="str">
        <f t="shared" ref="CH175:CH184" si="86">IF(CC175&lt;&gt;"",VLOOKUP(CC175,Disciplinechart,4,FALSE),"")</f>
        <v/>
      </c>
      <c r="CI175" s="609" t="str">
        <f t="shared" ref="CI175" si="87">IF(CC175&lt;&gt;"",VLOOKUP(CC175,Disciplinechart,6,FALSE),"")</f>
        <v/>
      </c>
      <c r="CJ175" s="609"/>
      <c r="CK175" s="609"/>
      <c r="CL175" s="610"/>
      <c r="CM175" s="608" t="str">
        <f t="shared" si="83"/>
        <v/>
      </c>
      <c r="CN175" s="609"/>
      <c r="CO175" s="609"/>
      <c r="CP175" s="609"/>
      <c r="CQ175" s="609" t="str">
        <f t="shared" si="84"/>
        <v/>
      </c>
      <c r="CR175" s="610"/>
    </row>
    <row r="176" spans="2:96" ht="14.25" customHeight="1" thickTop="1" thickBot="1" x14ac:dyDescent="0.3">
      <c r="B176" s="641"/>
      <c r="C176" s="642"/>
      <c r="D176" s="642"/>
      <c r="E176" s="642"/>
      <c r="F176" s="643"/>
      <c r="G176" s="285" t="str">
        <f t="shared" si="81"/>
        <v>0</v>
      </c>
      <c r="H176" s="644" t="str">
        <f t="shared" si="82"/>
        <v/>
      </c>
      <c r="I176" s="645"/>
      <c r="AO176" s="72" t="s">
        <v>1275</v>
      </c>
      <c r="AP176" s="162">
        <v>3</v>
      </c>
      <c r="AQ176" s="162"/>
      <c r="AR176" s="162"/>
      <c r="AS176" s="162"/>
      <c r="AT176" s="162">
        <v>3</v>
      </c>
      <c r="AU176" s="162" t="str">
        <f>IF(covenant1="Invictus","Yes","No")</f>
        <v>No</v>
      </c>
      <c r="AV176" s="162" t="s">
        <v>14</v>
      </c>
      <c r="AW176" s="73">
        <f t="shared" ca="1" si="76"/>
        <v>0</v>
      </c>
      <c r="CC176" s="608" t="str">
        <f>IF(breath&gt;=2,"Breath Drinking 2","")</f>
        <v/>
      </c>
      <c r="CD176" s="609"/>
      <c r="CE176" s="609" t="str">
        <f t="shared" ref="CE176:CE179" si="88">IF(CC176&lt;&gt;"",VLOOKUP(CC176,Disciplinechart,2,FALSE),"")</f>
        <v/>
      </c>
      <c r="CF176" s="609"/>
      <c r="CG176" s="609"/>
      <c r="CH176" s="452" t="str">
        <f t="shared" si="86"/>
        <v/>
      </c>
      <c r="CI176" s="609" t="str">
        <f t="shared" ref="CI176:CI179" si="89">IF(CC176&lt;&gt;"",VLOOKUP(CC176,Disciplinechart,6,FALSE),"")</f>
        <v/>
      </c>
      <c r="CJ176" s="609"/>
      <c r="CK176" s="609"/>
      <c r="CL176" s="610"/>
      <c r="CM176" s="608" t="str">
        <f t="shared" si="83"/>
        <v/>
      </c>
      <c r="CN176" s="609"/>
      <c r="CO176" s="609"/>
      <c r="CP176" s="609"/>
      <c r="CQ176" s="609" t="str">
        <f t="shared" si="84"/>
        <v/>
      </c>
      <c r="CR176" s="610"/>
    </row>
    <row r="177" spans="2:96" ht="14.25" customHeight="1" thickTop="1" thickBot="1" x14ac:dyDescent="0.3">
      <c r="B177" s="48"/>
      <c r="C177" s="49"/>
      <c r="D177" s="49"/>
      <c r="E177" s="49"/>
      <c r="F177" s="49"/>
      <c r="G177" s="49"/>
      <c r="H177" s="49"/>
      <c r="I177" s="135"/>
      <c r="L177" s="637" t="s">
        <v>2006</v>
      </c>
      <c r="M177" s="638"/>
      <c r="N177" s="351"/>
      <c r="O177" s="351"/>
      <c r="P177" s="351"/>
      <c r="Q177" s="351"/>
      <c r="R177" s="352"/>
      <c r="S177" s="352"/>
      <c r="T177" s="353"/>
      <c r="CC177" s="608" t="str">
        <f>IF(breath&gt;=3,"Breath Drinking 3","")</f>
        <v/>
      </c>
      <c r="CD177" s="609"/>
      <c r="CE177" s="609" t="str">
        <f t="shared" si="88"/>
        <v/>
      </c>
      <c r="CF177" s="609"/>
      <c r="CG177" s="609"/>
      <c r="CH177" s="452" t="str">
        <f t="shared" si="86"/>
        <v/>
      </c>
      <c r="CI177" s="609" t="str">
        <f t="shared" si="89"/>
        <v/>
      </c>
      <c r="CJ177" s="609"/>
      <c r="CK177" s="609"/>
      <c r="CL177" s="610"/>
      <c r="CM177" s="608" t="str">
        <f t="shared" si="83"/>
        <v/>
      </c>
      <c r="CN177" s="609"/>
      <c r="CO177" s="609"/>
      <c r="CP177" s="609"/>
      <c r="CQ177" s="609" t="str">
        <f t="shared" si="84"/>
        <v/>
      </c>
      <c r="CR177" s="610"/>
    </row>
    <row r="178" spans="2:96" ht="14.25" customHeight="1" thickTop="1" thickBot="1" x14ac:dyDescent="0.3">
      <c r="L178" s="639"/>
      <c r="M178" s="640"/>
      <c r="N178" s="114"/>
      <c r="O178" s="114"/>
      <c r="P178" s="114"/>
      <c r="Q178" s="114"/>
      <c r="R178" s="114"/>
      <c r="S178" s="114"/>
      <c r="T178" s="354"/>
      <c r="CC178" s="608" t="str">
        <f>IF(breath&gt;=4,"Breath Drinking 4","")</f>
        <v/>
      </c>
      <c r="CD178" s="609"/>
      <c r="CE178" s="609" t="str">
        <f t="shared" si="88"/>
        <v/>
      </c>
      <c r="CF178" s="609"/>
      <c r="CG178" s="609"/>
      <c r="CH178" s="452" t="str">
        <f t="shared" si="86"/>
        <v/>
      </c>
      <c r="CI178" s="609" t="str">
        <f t="shared" si="89"/>
        <v/>
      </c>
      <c r="CJ178" s="609"/>
      <c r="CK178" s="609"/>
      <c r="CL178" s="610"/>
      <c r="CM178" s="608" t="str">
        <f t="shared" si="83"/>
        <v/>
      </c>
      <c r="CN178" s="609"/>
      <c r="CO178" s="609"/>
      <c r="CP178" s="609"/>
      <c r="CQ178" s="609" t="str">
        <f t="shared" si="84"/>
        <v/>
      </c>
      <c r="CR178" s="610"/>
    </row>
    <row r="179" spans="2:96" ht="14.25" customHeight="1" thickTop="1" x14ac:dyDescent="0.25">
      <c r="B179" s="617" t="s">
        <v>1894</v>
      </c>
      <c r="C179" s="618"/>
      <c r="D179" s="287"/>
      <c r="E179" s="287"/>
      <c r="F179" s="287"/>
      <c r="G179" s="287"/>
      <c r="H179" s="287"/>
      <c r="I179" s="288"/>
      <c r="L179" s="614"/>
      <c r="M179" s="615"/>
      <c r="N179" s="615"/>
      <c r="O179" s="615"/>
      <c r="P179" s="615"/>
      <c r="Q179" s="615"/>
      <c r="R179" s="615"/>
      <c r="S179" s="615"/>
      <c r="T179" s="616"/>
      <c r="CC179" s="608" t="str">
        <f>IF(breath&gt;=5,"Breath Drinking 5","")</f>
        <v/>
      </c>
      <c r="CD179" s="609"/>
      <c r="CE179" s="609" t="str">
        <f t="shared" si="88"/>
        <v/>
      </c>
      <c r="CF179" s="609"/>
      <c r="CG179" s="609"/>
      <c r="CH179" s="452" t="str">
        <f t="shared" si="86"/>
        <v/>
      </c>
      <c r="CI179" s="609" t="str">
        <f t="shared" si="89"/>
        <v/>
      </c>
      <c r="CJ179" s="609"/>
      <c r="CK179" s="609"/>
      <c r="CL179" s="610"/>
      <c r="CM179" s="608" t="str">
        <f t="shared" si="83"/>
        <v/>
      </c>
      <c r="CN179" s="609"/>
      <c r="CO179" s="609"/>
      <c r="CP179" s="609"/>
      <c r="CQ179" s="609" t="str">
        <f t="shared" si="84"/>
        <v/>
      </c>
      <c r="CR179" s="610"/>
    </row>
    <row r="180" spans="2:96" ht="14.25" customHeight="1" x14ac:dyDescent="0.25">
      <c r="B180" s="620"/>
      <c r="C180" s="621"/>
      <c r="D180" s="46"/>
      <c r="E180" s="46"/>
      <c r="F180" s="46"/>
      <c r="G180" s="46"/>
      <c r="H180" s="46"/>
      <c r="I180" s="290"/>
      <c r="L180" s="614"/>
      <c r="M180" s="615"/>
      <c r="N180" s="615"/>
      <c r="O180" s="615"/>
      <c r="P180" s="615"/>
      <c r="Q180" s="615"/>
      <c r="R180" s="615"/>
      <c r="S180" s="615"/>
      <c r="T180" s="616"/>
      <c r="CC180" s="1060" t="str">
        <f>IF(spoiling&lt;&gt;0,CONCATENATE("Spoiling",spoiling),"")</f>
        <v/>
      </c>
      <c r="CD180" s="685"/>
      <c r="CE180" s="685" t="str">
        <f>IF(spoiling&lt;&gt;0,CONCATENATE(R79,", ",R80,", ",R81,", ",R82,", ",R83),"")</f>
        <v/>
      </c>
      <c r="CF180" s="685"/>
      <c r="CG180" s="685"/>
      <c r="CH180" s="685" t="str">
        <f>IF(spoiling&gt;0,CONCATENATE("    ",stamina+IF(occult=0,-3,occult)+spoiling,"         vs. Res +BP"),"")</f>
        <v/>
      </c>
      <c r="CI180" s="685"/>
      <c r="CJ180" s="685"/>
      <c r="CK180" s="685"/>
      <c r="CL180" s="1061"/>
      <c r="CM180" s="608" t="str">
        <f t="shared" si="83"/>
        <v/>
      </c>
      <c r="CN180" s="609"/>
      <c r="CO180" s="609"/>
      <c r="CP180" s="609"/>
      <c r="CQ180" s="609" t="str">
        <f t="shared" si="84"/>
        <v/>
      </c>
      <c r="CR180" s="610"/>
    </row>
    <row r="181" spans="2:96" ht="14.25" customHeight="1" x14ac:dyDescent="0.25">
      <c r="B181" s="871" t="s">
        <v>1895</v>
      </c>
      <c r="C181" s="872"/>
      <c r="D181" s="295">
        <f ca="1">IF(AW69&gt;0,6,5)</f>
        <v>5</v>
      </c>
      <c r="E181" s="421"/>
      <c r="F181" s="421"/>
      <c r="G181" s="123"/>
      <c r="H181" s="123"/>
      <c r="I181" s="30"/>
      <c r="L181" s="614"/>
      <c r="M181" s="615"/>
      <c r="N181" s="615"/>
      <c r="O181" s="615"/>
      <c r="P181" s="615"/>
      <c r="Q181" s="615"/>
      <c r="R181" s="615"/>
      <c r="S181" s="615"/>
      <c r="T181" s="616"/>
      <c r="CC181" s="1060"/>
      <c r="CD181" s="685"/>
      <c r="CE181" s="685"/>
      <c r="CF181" s="685"/>
      <c r="CG181" s="685"/>
      <c r="CH181" s="685"/>
      <c r="CI181" s="685"/>
      <c r="CJ181" s="685"/>
      <c r="CK181" s="685"/>
      <c r="CL181" s="1061"/>
      <c r="CM181" s="608" t="str">
        <f t="shared" si="83"/>
        <v/>
      </c>
      <c r="CN181" s="609"/>
      <c r="CO181" s="609"/>
      <c r="CP181" s="609"/>
      <c r="CQ181" s="609" t="str">
        <f t="shared" si="84"/>
        <v/>
      </c>
      <c r="CR181" s="610"/>
    </row>
    <row r="182" spans="2:96" ht="14.25" customHeight="1" x14ac:dyDescent="0.25">
      <c r="B182" s="873" t="s">
        <v>1896</v>
      </c>
      <c r="C182" s="874"/>
      <c r="D182" s="296">
        <f>strength+dexterity+5</f>
        <v>7</v>
      </c>
      <c r="E182" s="297" t="s">
        <v>1897</v>
      </c>
      <c r="F182" s="296">
        <f ca="1">IF(SUMIF(B46:C90,"Fleet of Foot",D46:D90)&gt;3,3,SUMIF(B46:C90,"Fleet of Foot",D46:D90))</f>
        <v>0</v>
      </c>
      <c r="G182" s="297" t="s">
        <v>1898</v>
      </c>
      <c r="H182" s="298">
        <f ca="1">D182+F182</f>
        <v>7</v>
      </c>
      <c r="I182" s="30"/>
      <c r="L182" s="614"/>
      <c r="M182" s="615"/>
      <c r="N182" s="615"/>
      <c r="O182" s="615"/>
      <c r="P182" s="615"/>
      <c r="Q182" s="615"/>
      <c r="R182" s="615"/>
      <c r="S182" s="615"/>
      <c r="T182" s="616"/>
      <c r="CC182" s="1060"/>
      <c r="CD182" s="685"/>
      <c r="CE182" s="685"/>
      <c r="CF182" s="685"/>
      <c r="CG182" s="685"/>
      <c r="CH182" s="685"/>
      <c r="CI182" s="685"/>
      <c r="CJ182" s="685"/>
      <c r="CK182" s="685"/>
      <c r="CL182" s="1061"/>
      <c r="CM182" s="608" t="str">
        <f t="shared" si="83"/>
        <v/>
      </c>
      <c r="CN182" s="609"/>
      <c r="CO182" s="609"/>
      <c r="CP182" s="609"/>
      <c r="CQ182" s="609" t="str">
        <f t="shared" si="84"/>
        <v/>
      </c>
      <c r="CR182" s="610"/>
    </row>
    <row r="183" spans="2:96" ht="14.25" customHeight="1" x14ac:dyDescent="0.25">
      <c r="B183" s="873" t="s">
        <v>1899</v>
      </c>
      <c r="C183" s="874"/>
      <c r="D183" s="299">
        <f>dexterity+composure</f>
        <v>2</v>
      </c>
      <c r="E183" s="300" t="s">
        <v>1897</v>
      </c>
      <c r="F183" s="299">
        <f ca="1">IF(SUMIF(B46:C90,"Fast Reflexes (2)",D46:D90)&gt;0,2,IF(SUMIF(B46:C90,"Fast Reflexes (1)",D46:D90)&gt;0,1,0))</f>
        <v>0</v>
      </c>
      <c r="G183" s="300" t="s">
        <v>1898</v>
      </c>
      <c r="H183" s="301">
        <f ca="1">D183+F183</f>
        <v>2</v>
      </c>
      <c r="I183" s="30"/>
      <c r="L183" s="614"/>
      <c r="M183" s="615"/>
      <c r="N183" s="615"/>
      <c r="O183" s="615"/>
      <c r="P183" s="615"/>
      <c r="Q183" s="615"/>
      <c r="R183" s="615"/>
      <c r="S183" s="615"/>
      <c r="T183" s="616"/>
      <c r="CC183" s="1060"/>
      <c r="CD183" s="685"/>
      <c r="CE183" s="685"/>
      <c r="CF183" s="685"/>
      <c r="CG183" s="685"/>
      <c r="CH183" s="685"/>
      <c r="CI183" s="685"/>
      <c r="CJ183" s="685"/>
      <c r="CK183" s="685"/>
      <c r="CL183" s="1061"/>
      <c r="CM183" s="608" t="str">
        <f t="shared" si="83"/>
        <v/>
      </c>
      <c r="CN183" s="609"/>
      <c r="CO183" s="609"/>
      <c r="CP183" s="609"/>
      <c r="CQ183" s="609" t="str">
        <f t="shared" si="84"/>
        <v/>
      </c>
      <c r="CR183" s="610"/>
    </row>
    <row r="184" spans="2:96" ht="14.25" customHeight="1" x14ac:dyDescent="0.25">
      <c r="B184" s="873" t="s">
        <v>1900</v>
      </c>
      <c r="C184" s="874"/>
      <c r="D184" s="302">
        <f>IF(wits&lt;=dexterity,wits,dexterity)</f>
        <v>1</v>
      </c>
      <c r="E184" s="303" t="s">
        <v>1897</v>
      </c>
      <c r="F184" s="304"/>
      <c r="G184" s="303" t="s">
        <v>1898</v>
      </c>
      <c r="H184" s="305">
        <f>D184+F184</f>
        <v>1</v>
      </c>
      <c r="I184" s="30"/>
      <c r="L184" s="614"/>
      <c r="M184" s="615"/>
      <c r="N184" s="615"/>
      <c r="O184" s="615"/>
      <c r="P184" s="615"/>
      <c r="Q184" s="615"/>
      <c r="R184" s="615"/>
      <c r="S184" s="615"/>
      <c r="T184" s="616"/>
      <c r="CC184" s="1060"/>
      <c r="CD184" s="685"/>
      <c r="CE184" s="685"/>
      <c r="CF184" s="685"/>
      <c r="CG184" s="685"/>
      <c r="CH184" s="685"/>
      <c r="CI184" s="685"/>
      <c r="CJ184" s="685"/>
      <c r="CK184" s="685"/>
      <c r="CL184" s="1061"/>
      <c r="CM184" s="608" t="str">
        <f t="shared" si="83"/>
        <v/>
      </c>
      <c r="CN184" s="609"/>
      <c r="CO184" s="609"/>
      <c r="CP184" s="609"/>
      <c r="CQ184" s="609" t="str">
        <f t="shared" si="84"/>
        <v/>
      </c>
      <c r="CR184" s="610"/>
    </row>
    <row r="185" spans="2:96" ht="14.25" customHeight="1" x14ac:dyDescent="0.25">
      <c r="B185" s="873" t="s">
        <v>2159</v>
      </c>
      <c r="C185" s="874"/>
      <c r="D185" s="304"/>
      <c r="E185" s="306" t="s">
        <v>1901</v>
      </c>
      <c r="F185" s="304"/>
      <c r="G185" s="114"/>
      <c r="H185" s="307"/>
      <c r="I185" s="30"/>
      <c r="L185" s="614"/>
      <c r="M185" s="615"/>
      <c r="N185" s="615"/>
      <c r="O185" s="615"/>
      <c r="P185" s="615"/>
      <c r="Q185" s="615"/>
      <c r="R185" s="615"/>
      <c r="S185" s="615"/>
      <c r="T185" s="616"/>
      <c r="CC185" s="455"/>
      <c r="CD185" s="451"/>
      <c r="CE185" s="1058"/>
      <c r="CF185" s="1058"/>
      <c r="CG185" s="1058"/>
      <c r="CH185" s="451"/>
      <c r="CI185" s="451"/>
      <c r="CJ185" s="451"/>
      <c r="CK185" s="451"/>
      <c r="CL185" s="453"/>
      <c r="CM185" s="611" t="str">
        <f t="shared" si="83"/>
        <v/>
      </c>
      <c r="CN185" s="612"/>
      <c r="CO185" s="612"/>
      <c r="CP185" s="612"/>
      <c r="CQ185" s="612" t="str">
        <f t="shared" si="84"/>
        <v/>
      </c>
      <c r="CR185" s="613"/>
    </row>
    <row r="186" spans="2:96" ht="14.25" customHeight="1" x14ac:dyDescent="0.25">
      <c r="B186" s="873" t="s">
        <v>1902</v>
      </c>
      <c r="C186" s="874"/>
      <c r="D186" s="302">
        <f ca="1">Size+stamina</f>
        <v>6</v>
      </c>
      <c r="E186" s="45"/>
      <c r="F186" s="45"/>
      <c r="G186" s="114"/>
      <c r="H186" s="307"/>
      <c r="I186" s="30"/>
      <c r="L186" s="614"/>
      <c r="M186" s="615"/>
      <c r="N186" s="615"/>
      <c r="O186" s="615"/>
      <c r="P186" s="615"/>
      <c r="Q186" s="615"/>
      <c r="R186" s="615"/>
      <c r="S186" s="615"/>
      <c r="T186" s="616"/>
      <c r="CC186" s="455"/>
      <c r="CD186" s="451"/>
      <c r="CE186" s="1058"/>
      <c r="CF186" s="1058"/>
      <c r="CG186" s="1058"/>
      <c r="CH186" s="451"/>
      <c r="CI186" s="451"/>
      <c r="CJ186" s="451"/>
      <c r="CK186" s="451"/>
      <c r="CL186" s="453"/>
      <c r="CM186" s="656" t="s">
        <v>2188</v>
      </c>
      <c r="CN186" s="657"/>
      <c r="CO186" s="657"/>
      <c r="CP186" s="657"/>
      <c r="CQ186" s="657"/>
      <c r="CR186" s="658"/>
    </row>
    <row r="187" spans="2:96" ht="14.25" customHeight="1" x14ac:dyDescent="0.25">
      <c r="B187" s="308"/>
      <c r="C187" s="289"/>
      <c r="D187" s="114"/>
      <c r="E187" s="114"/>
      <c r="F187" s="114"/>
      <c r="G187" s="114"/>
      <c r="H187" s="307"/>
      <c r="I187" s="30"/>
      <c r="L187" s="614"/>
      <c r="M187" s="615"/>
      <c r="N187" s="615"/>
      <c r="O187" s="615"/>
      <c r="P187" s="615"/>
      <c r="Q187" s="615"/>
      <c r="R187" s="615"/>
      <c r="S187" s="615"/>
      <c r="T187" s="616"/>
      <c r="CC187" s="455"/>
      <c r="CD187" s="451"/>
      <c r="CE187" s="1058"/>
      <c r="CF187" s="1058"/>
      <c r="CG187" s="1058"/>
      <c r="CH187" s="451"/>
      <c r="CI187" s="451"/>
      <c r="CJ187" s="451"/>
      <c r="CK187" s="451"/>
      <c r="CL187" s="451"/>
      <c r="CM187" s="659" t="str">
        <f t="shared" ref="CM187:CM206" si="90">IF(L179&lt;&gt;"",L179,"")</f>
        <v/>
      </c>
      <c r="CN187" s="660"/>
      <c r="CO187" s="660"/>
      <c r="CP187" s="660"/>
      <c r="CQ187" s="660"/>
      <c r="CR187" s="661"/>
    </row>
    <row r="188" spans="2:96" ht="14.25" customHeight="1" x14ac:dyDescent="0.25">
      <c r="B188" s="309"/>
      <c r="C188" s="310"/>
      <c r="D188" s="123"/>
      <c r="E188" s="123"/>
      <c r="F188" s="311" t="s">
        <v>8</v>
      </c>
      <c r="G188" s="875" t="s">
        <v>762</v>
      </c>
      <c r="H188" s="876"/>
      <c r="I188" s="312" t="s">
        <v>1903</v>
      </c>
      <c r="L188" s="614"/>
      <c r="M188" s="615"/>
      <c r="N188" s="615"/>
      <c r="O188" s="615"/>
      <c r="P188" s="615"/>
      <c r="Q188" s="615"/>
      <c r="R188" s="615"/>
      <c r="S188" s="615"/>
      <c r="T188" s="616"/>
      <c r="CC188" s="1056"/>
      <c r="CD188" s="1057"/>
      <c r="CE188" s="1059"/>
      <c r="CF188" s="1059"/>
      <c r="CG188" s="1059"/>
      <c r="CH188" s="1057"/>
      <c r="CI188" s="1057"/>
      <c r="CJ188" s="1057"/>
      <c r="CK188" s="1057"/>
      <c r="CL188" s="1057"/>
      <c r="CM188" s="608" t="str">
        <f t="shared" si="90"/>
        <v/>
      </c>
      <c r="CN188" s="609"/>
      <c r="CO188" s="609"/>
      <c r="CP188" s="609"/>
      <c r="CQ188" s="609"/>
      <c r="CR188" s="610"/>
    </row>
    <row r="189" spans="2:96" ht="14.25" customHeight="1" x14ac:dyDescent="0.25">
      <c r="B189" s="313" t="s">
        <v>1108</v>
      </c>
      <c r="C189" s="302">
        <f>IF((resolve+composure)&gt;10,10,(resolve+composure))-I189+IF(I189&gt;0,ROUNDDOWN(F189/8,0),0)</f>
        <v>2</v>
      </c>
      <c r="D189" s="472"/>
      <c r="E189" s="428"/>
      <c r="F189" s="314"/>
      <c r="G189" s="315">
        <f>IF(F189&lt;&gt;"",8,8)</f>
        <v>8</v>
      </c>
      <c r="H189" s="128">
        <f>IF((F189/8)&lt;&gt;I189,G189+F189,0)</f>
        <v>0</v>
      </c>
      <c r="I189" s="316"/>
      <c r="L189" s="614"/>
      <c r="M189" s="615"/>
      <c r="N189" s="615"/>
      <c r="O189" s="615"/>
      <c r="P189" s="615"/>
      <c r="Q189" s="615"/>
      <c r="R189" s="615"/>
      <c r="S189" s="615"/>
      <c r="T189" s="616"/>
      <c r="CC189" s="666" t="s">
        <v>2195</v>
      </c>
      <c r="CD189" s="667"/>
      <c r="CE189" s="667"/>
      <c r="CF189" s="667"/>
      <c r="CG189" s="667"/>
      <c r="CH189" s="667"/>
      <c r="CI189" s="902" t="s">
        <v>775</v>
      </c>
      <c r="CJ189" s="902"/>
      <c r="CK189" s="902" t="s">
        <v>2004</v>
      </c>
      <c r="CL189" s="902"/>
      <c r="CM189" s="608" t="str">
        <f t="shared" si="90"/>
        <v/>
      </c>
      <c r="CN189" s="609"/>
      <c r="CO189" s="609"/>
      <c r="CP189" s="609"/>
      <c r="CQ189" s="609"/>
      <c r="CR189" s="610"/>
    </row>
    <row r="190" spans="2:96" ht="14.25" customHeight="1" x14ac:dyDescent="0.25">
      <c r="B190" s="317"/>
      <c r="C190" s="318"/>
      <c r="D190" s="879" t="s">
        <v>1904</v>
      </c>
      <c r="E190" s="880"/>
      <c r="F190" s="319"/>
      <c r="G190" s="472"/>
      <c r="H190" s="472"/>
      <c r="I190" s="320"/>
      <c r="L190" s="614"/>
      <c r="M190" s="615"/>
      <c r="N190" s="615"/>
      <c r="O190" s="615"/>
      <c r="P190" s="615"/>
      <c r="Q190" s="615"/>
      <c r="R190" s="615"/>
      <c r="S190" s="615"/>
      <c r="T190" s="616"/>
      <c r="AD190" s="533" t="str">
        <f>CONCATENATE(B195,",",B196,",",B197,",",B198,",",B199,",",B200,",",B201,",",B202,",",B203,",",B204)</f>
        <v>,,,,,,,,,</v>
      </c>
      <c r="CC190" s="671" t="str">
        <f>IF(L171&lt;&gt;"",CONCATENATE("  ",L171),"")</f>
        <v/>
      </c>
      <c r="CD190" s="672"/>
      <c r="CE190" s="672"/>
      <c r="CF190" s="672"/>
      <c r="CG190" s="672"/>
      <c r="CH190" s="672"/>
      <c r="CI190" s="672" t="str">
        <f>IF(P171&lt;&gt;"",CONCATENATE("  ",P171),"")</f>
        <v/>
      </c>
      <c r="CJ190" s="672"/>
      <c r="CK190" s="672" t="str">
        <f>IF(T171&lt;&gt;"",CONCATENATE("  ",T171),"")</f>
        <v/>
      </c>
      <c r="CL190" s="672"/>
      <c r="CM190" s="608" t="str">
        <f t="shared" si="90"/>
        <v/>
      </c>
      <c r="CN190" s="609"/>
      <c r="CO190" s="609"/>
      <c r="CP190" s="609"/>
      <c r="CQ190" s="609"/>
      <c r="CR190" s="610"/>
    </row>
    <row r="191" spans="2:96" ht="14.25" customHeight="1" x14ac:dyDescent="0.25">
      <c r="B191" s="321"/>
      <c r="C191" s="322"/>
      <c r="D191" s="881"/>
      <c r="E191" s="882"/>
      <c r="F191" s="323" t="s">
        <v>8</v>
      </c>
      <c r="G191" s="883" t="s">
        <v>762</v>
      </c>
      <c r="H191" s="884"/>
      <c r="I191" s="324" t="s">
        <v>1903</v>
      </c>
      <c r="L191" s="614"/>
      <c r="M191" s="615"/>
      <c r="N191" s="615"/>
      <c r="O191" s="615"/>
      <c r="P191" s="615"/>
      <c r="Q191" s="615"/>
      <c r="R191" s="615"/>
      <c r="S191" s="615"/>
      <c r="T191" s="616"/>
      <c r="CC191" s="673" t="str">
        <f>IF(L172&lt;&gt;"",CONCATENATE("  ",L172),"")</f>
        <v/>
      </c>
      <c r="CD191" s="662"/>
      <c r="CE191" s="662"/>
      <c r="CF191" s="662"/>
      <c r="CG191" s="662"/>
      <c r="CH191" s="662"/>
      <c r="CI191" s="662" t="str">
        <f>IF(P172&lt;&gt;"",CONCATENATE("  ",P172),"")</f>
        <v/>
      </c>
      <c r="CJ191" s="662"/>
      <c r="CK191" s="662" t="str">
        <f>IF(T172&lt;&gt;"",CONCATENATE("  ",T172),"")</f>
        <v/>
      </c>
      <c r="CL191" s="662"/>
      <c r="CM191" s="608" t="str">
        <f t="shared" si="90"/>
        <v/>
      </c>
      <c r="CN191" s="609"/>
      <c r="CO191" s="609"/>
      <c r="CP191" s="609"/>
      <c r="CQ191" s="609"/>
      <c r="CR191" s="610"/>
    </row>
    <row r="192" spans="2:96" ht="14.25" customHeight="1" x14ac:dyDescent="0.25">
      <c r="B192" s="325" t="s">
        <v>778</v>
      </c>
      <c r="C192" s="296">
        <f>(D192-I192)+(F192/8)</f>
        <v>5</v>
      </c>
      <c r="D192" s="867">
        <v>5</v>
      </c>
      <c r="E192" s="868"/>
      <c r="F192" s="314"/>
      <c r="G192" s="421">
        <v>8</v>
      </c>
      <c r="H192" s="429">
        <f>G192+F192</f>
        <v>8</v>
      </c>
      <c r="I192" s="326"/>
      <c r="L192" s="614"/>
      <c r="M192" s="615"/>
      <c r="N192" s="615"/>
      <c r="O192" s="615"/>
      <c r="P192" s="615"/>
      <c r="Q192" s="615"/>
      <c r="R192" s="615"/>
      <c r="S192" s="615"/>
      <c r="T192" s="616"/>
      <c r="CC192" s="673" t="str">
        <f>IF(L173&lt;&gt;"",CONCATENATE("  ",L173),"")</f>
        <v/>
      </c>
      <c r="CD192" s="662"/>
      <c r="CE192" s="662"/>
      <c r="CF192" s="662"/>
      <c r="CG192" s="662"/>
      <c r="CH192" s="662"/>
      <c r="CI192" s="662" t="str">
        <f>IF(P173&lt;&gt;"",CONCATENATE("  ",P173),"")</f>
        <v/>
      </c>
      <c r="CJ192" s="662"/>
      <c r="CK192" s="662" t="str">
        <f>IF(T173&lt;&gt;"",CONCATENATE("  ",T173),"")</f>
        <v/>
      </c>
      <c r="CL192" s="662"/>
      <c r="CM192" s="608" t="str">
        <f t="shared" si="90"/>
        <v/>
      </c>
      <c r="CN192" s="609"/>
      <c r="CO192" s="609"/>
      <c r="CP192" s="609"/>
      <c r="CQ192" s="609"/>
      <c r="CR192" s="610"/>
    </row>
    <row r="193" spans="2:96" ht="14.25" customHeight="1" x14ac:dyDescent="0.25">
      <c r="B193" s="308"/>
      <c r="C193" s="289"/>
      <c r="D193" s="289"/>
      <c r="E193" s="289"/>
      <c r="F193" s="289"/>
      <c r="G193" s="289"/>
      <c r="H193" s="289"/>
      <c r="I193" s="290"/>
      <c r="L193" s="614"/>
      <c r="M193" s="615"/>
      <c r="N193" s="615"/>
      <c r="O193" s="615"/>
      <c r="P193" s="615"/>
      <c r="Q193" s="615"/>
      <c r="R193" s="615"/>
      <c r="S193" s="615"/>
      <c r="T193" s="616"/>
      <c r="CC193" s="673" t="str">
        <f>IF(L174&lt;&gt;"",CONCATENATE("  ",L174),"")</f>
        <v/>
      </c>
      <c r="CD193" s="662"/>
      <c r="CE193" s="662"/>
      <c r="CF193" s="662"/>
      <c r="CG193" s="662"/>
      <c r="CH193" s="662"/>
      <c r="CI193" s="662" t="str">
        <f>IF(P174&lt;&gt;"",CONCATENATE("  ",P174),"")</f>
        <v/>
      </c>
      <c r="CJ193" s="662"/>
      <c r="CK193" s="662" t="str">
        <f>IF(T174&lt;&gt;"",CONCATENATE("  ",T174),"")</f>
        <v/>
      </c>
      <c r="CL193" s="662"/>
      <c r="CM193" s="608" t="str">
        <f t="shared" si="90"/>
        <v/>
      </c>
      <c r="CN193" s="609"/>
      <c r="CO193" s="609"/>
      <c r="CP193" s="609"/>
      <c r="CQ193" s="609"/>
      <c r="CR193" s="610"/>
    </row>
    <row r="194" spans="2:96" ht="14.25" customHeight="1" x14ac:dyDescent="0.25">
      <c r="B194" s="623" t="s">
        <v>815</v>
      </c>
      <c r="C194" s="624"/>
      <c r="D194" s="327"/>
      <c r="E194" s="328"/>
      <c r="F194" s="329" t="s">
        <v>1905</v>
      </c>
      <c r="G194" s="330"/>
      <c r="H194" s="310"/>
      <c r="I194" s="331"/>
      <c r="L194" s="614"/>
      <c r="M194" s="615"/>
      <c r="N194" s="615"/>
      <c r="O194" s="615"/>
      <c r="P194" s="615"/>
      <c r="Q194" s="615"/>
      <c r="R194" s="615"/>
      <c r="S194" s="615"/>
      <c r="T194" s="616"/>
      <c r="CC194" s="909" t="str">
        <f>IF(L175&lt;&gt;"",CONCATENATE("  ",L175),"")</f>
        <v/>
      </c>
      <c r="CD194" s="663"/>
      <c r="CE194" s="663"/>
      <c r="CF194" s="663"/>
      <c r="CG194" s="663"/>
      <c r="CH194" s="663"/>
      <c r="CI194" s="663" t="str">
        <f>IF(P175&lt;&gt;"",CONCATENATE("  ",P175),"")</f>
        <v/>
      </c>
      <c r="CJ194" s="663"/>
      <c r="CK194" s="663" t="str">
        <f>IF(T175&lt;&gt;"",CONCATENATE("  ",T175),"")</f>
        <v/>
      </c>
      <c r="CL194" s="696"/>
      <c r="CM194" s="609" t="str">
        <f t="shared" si="90"/>
        <v/>
      </c>
      <c r="CN194" s="609"/>
      <c r="CO194" s="609"/>
      <c r="CP194" s="609"/>
      <c r="CQ194" s="609"/>
      <c r="CR194" s="610"/>
    </row>
    <row r="195" spans="2:96" ht="14.25" customHeight="1" x14ac:dyDescent="0.25">
      <c r="B195" s="865"/>
      <c r="C195" s="866"/>
      <c r="D195" s="303">
        <v>10</v>
      </c>
      <c r="E195" s="332"/>
      <c r="F195" s="869"/>
      <c r="G195" s="869"/>
      <c r="H195" s="869"/>
      <c r="I195" s="870"/>
      <c r="L195" s="614"/>
      <c r="M195" s="615"/>
      <c r="N195" s="615"/>
      <c r="O195" s="615"/>
      <c r="P195" s="615"/>
      <c r="Q195" s="615"/>
      <c r="R195" s="615"/>
      <c r="S195" s="615"/>
      <c r="T195" s="616"/>
      <c r="CC195" s="656" t="s">
        <v>2196</v>
      </c>
      <c r="CD195" s="657"/>
      <c r="CE195" s="657"/>
      <c r="CF195" s="657"/>
      <c r="CG195" s="657" t="s">
        <v>2197</v>
      </c>
      <c r="CH195" s="657"/>
      <c r="CI195" s="657"/>
      <c r="CJ195" s="657"/>
      <c r="CK195" s="662" t="s">
        <v>1891</v>
      </c>
      <c r="CL195" s="662"/>
      <c r="CM195" s="608" t="str">
        <f t="shared" si="90"/>
        <v/>
      </c>
      <c r="CN195" s="609"/>
      <c r="CO195" s="609"/>
      <c r="CP195" s="609"/>
      <c r="CQ195" s="609"/>
      <c r="CR195" s="610"/>
    </row>
    <row r="196" spans="2:96" ht="14.25" customHeight="1" x14ac:dyDescent="0.25">
      <c r="B196" s="865"/>
      <c r="C196" s="866"/>
      <c r="D196" s="472">
        <v>9</v>
      </c>
      <c r="E196" s="289"/>
      <c r="F196" s="289"/>
      <c r="G196" s="289"/>
      <c r="H196" s="289"/>
      <c r="I196" s="290"/>
      <c r="L196" s="614"/>
      <c r="M196" s="615"/>
      <c r="N196" s="615"/>
      <c r="O196" s="615"/>
      <c r="P196" s="615"/>
      <c r="Q196" s="615"/>
      <c r="R196" s="615"/>
      <c r="S196" s="615"/>
      <c r="T196" s="616"/>
      <c r="CC196" s="659" t="str">
        <f t="shared" ref="CC196:CC205" si="91">IF(L147&lt;&gt;"",L147,"")</f>
        <v/>
      </c>
      <c r="CD196" s="660"/>
      <c r="CE196" s="660"/>
      <c r="CF196" s="660"/>
      <c r="CG196" s="660" t="str">
        <f t="shared" ref="CG196:CG205" si="92">IF(L147&lt;&gt;"",CONCATENATE(P147," ",R147),"")</f>
        <v/>
      </c>
      <c r="CH196" s="660"/>
      <c r="CI196" s="660"/>
      <c r="CJ196" s="660"/>
      <c r="CK196" s="672" t="str">
        <f t="shared" ref="CK196:CK205" si="93">IF(W147&lt;&gt;"",W147,"")</f>
        <v/>
      </c>
      <c r="CL196" s="672"/>
      <c r="CM196" s="608" t="str">
        <f t="shared" si="90"/>
        <v/>
      </c>
      <c r="CN196" s="609"/>
      <c r="CO196" s="609"/>
      <c r="CP196" s="609"/>
      <c r="CQ196" s="609"/>
      <c r="CR196" s="610"/>
    </row>
    <row r="197" spans="2:96" ht="14.25" customHeight="1" x14ac:dyDescent="0.25">
      <c r="B197" s="865"/>
      <c r="C197" s="866"/>
      <c r="D197" s="472">
        <v>8</v>
      </c>
      <c r="E197" s="289"/>
      <c r="F197" s="289"/>
      <c r="G197" s="289"/>
      <c r="H197" s="289"/>
      <c r="I197" s="290"/>
      <c r="L197" s="614"/>
      <c r="M197" s="615"/>
      <c r="N197" s="615"/>
      <c r="O197" s="615"/>
      <c r="P197" s="615"/>
      <c r="Q197" s="615"/>
      <c r="R197" s="615"/>
      <c r="S197" s="615"/>
      <c r="T197" s="616"/>
      <c r="CC197" s="608" t="str">
        <f t="shared" si="91"/>
        <v/>
      </c>
      <c r="CD197" s="609"/>
      <c r="CE197" s="609"/>
      <c r="CF197" s="609"/>
      <c r="CG197" s="609" t="str">
        <f t="shared" si="92"/>
        <v/>
      </c>
      <c r="CH197" s="609"/>
      <c r="CI197" s="609"/>
      <c r="CJ197" s="609"/>
      <c r="CK197" s="662" t="str">
        <f t="shared" si="93"/>
        <v/>
      </c>
      <c r="CL197" s="662"/>
      <c r="CM197" s="608" t="str">
        <f t="shared" si="90"/>
        <v/>
      </c>
      <c r="CN197" s="609"/>
      <c r="CO197" s="609"/>
      <c r="CP197" s="609"/>
      <c r="CQ197" s="609"/>
      <c r="CR197" s="610"/>
    </row>
    <row r="198" spans="2:96" ht="14.25" customHeight="1" x14ac:dyDescent="0.25">
      <c r="B198" s="865"/>
      <c r="C198" s="866"/>
      <c r="D198" s="472">
        <v>7</v>
      </c>
      <c r="E198" s="289"/>
      <c r="F198" s="289"/>
      <c r="G198" s="289"/>
      <c r="H198" s="289"/>
      <c r="I198" s="290"/>
      <c r="L198" s="614"/>
      <c r="M198" s="615"/>
      <c r="N198" s="615"/>
      <c r="O198" s="615"/>
      <c r="P198" s="615"/>
      <c r="Q198" s="615"/>
      <c r="R198" s="615"/>
      <c r="S198" s="615"/>
      <c r="T198" s="616"/>
      <c r="CC198" s="608" t="str">
        <f t="shared" si="91"/>
        <v/>
      </c>
      <c r="CD198" s="609"/>
      <c r="CE198" s="609"/>
      <c r="CF198" s="609"/>
      <c r="CG198" s="609" t="str">
        <f t="shared" si="92"/>
        <v/>
      </c>
      <c r="CH198" s="609"/>
      <c r="CI198" s="609"/>
      <c r="CJ198" s="609"/>
      <c r="CK198" s="662" t="str">
        <f t="shared" si="93"/>
        <v/>
      </c>
      <c r="CL198" s="662"/>
      <c r="CM198" s="608" t="str">
        <f t="shared" si="90"/>
        <v/>
      </c>
      <c r="CN198" s="609"/>
      <c r="CO198" s="609"/>
      <c r="CP198" s="609"/>
      <c r="CQ198" s="609"/>
      <c r="CR198" s="610"/>
    </row>
    <row r="199" spans="2:96" ht="14.25" customHeight="1" thickBot="1" x14ac:dyDescent="0.3">
      <c r="B199" s="865"/>
      <c r="C199" s="866"/>
      <c r="D199" s="472">
        <v>6</v>
      </c>
      <c r="E199" s="289"/>
      <c r="F199" s="333"/>
      <c r="G199" s="333"/>
      <c r="H199" s="333"/>
      <c r="I199" s="290"/>
      <c r="L199" s="355"/>
      <c r="M199" s="356"/>
      <c r="N199" s="356"/>
      <c r="O199" s="356"/>
      <c r="P199" s="356"/>
      <c r="Q199" s="356"/>
      <c r="R199" s="356"/>
      <c r="S199" s="356"/>
      <c r="T199" s="357"/>
      <c r="CC199" s="608" t="str">
        <f t="shared" si="91"/>
        <v/>
      </c>
      <c r="CD199" s="609"/>
      <c r="CE199" s="609"/>
      <c r="CF199" s="609"/>
      <c r="CG199" s="609" t="str">
        <f t="shared" si="92"/>
        <v/>
      </c>
      <c r="CH199" s="609"/>
      <c r="CI199" s="609"/>
      <c r="CJ199" s="609"/>
      <c r="CK199" s="662" t="str">
        <f t="shared" si="93"/>
        <v/>
      </c>
      <c r="CL199" s="662"/>
      <c r="CM199" s="608" t="str">
        <f t="shared" si="90"/>
        <v/>
      </c>
      <c r="CN199" s="609"/>
      <c r="CO199" s="609"/>
      <c r="CP199" s="609"/>
      <c r="CQ199" s="609"/>
      <c r="CR199" s="610"/>
    </row>
    <row r="200" spans="2:96" ht="14.25" customHeight="1" thickTop="1" x14ac:dyDescent="0.25">
      <c r="B200" s="865"/>
      <c r="C200" s="866"/>
      <c r="D200" s="472">
        <v>5</v>
      </c>
      <c r="E200" s="289"/>
      <c r="F200" s="333"/>
      <c r="G200" s="333"/>
      <c r="H200" s="333"/>
      <c r="I200" s="290"/>
      <c r="CC200" s="608" t="str">
        <f t="shared" si="91"/>
        <v/>
      </c>
      <c r="CD200" s="609"/>
      <c r="CE200" s="609"/>
      <c r="CF200" s="609"/>
      <c r="CG200" s="609" t="str">
        <f t="shared" si="92"/>
        <v/>
      </c>
      <c r="CH200" s="609"/>
      <c r="CI200" s="609"/>
      <c r="CJ200" s="609"/>
      <c r="CK200" s="662" t="str">
        <f t="shared" si="93"/>
        <v/>
      </c>
      <c r="CL200" s="662"/>
      <c r="CM200" s="608" t="str">
        <f t="shared" si="90"/>
        <v/>
      </c>
      <c r="CN200" s="609"/>
      <c r="CO200" s="609"/>
      <c r="CP200" s="609"/>
      <c r="CQ200" s="609"/>
      <c r="CR200" s="610"/>
    </row>
    <row r="201" spans="2:96" ht="14.25" customHeight="1" x14ac:dyDescent="0.25">
      <c r="B201" s="865"/>
      <c r="C201" s="866"/>
      <c r="D201" s="472">
        <v>4</v>
      </c>
      <c r="E201" s="289"/>
      <c r="F201" s="333"/>
      <c r="G201" s="333"/>
      <c r="H201" s="333"/>
      <c r="I201" s="290"/>
      <c r="CC201" s="608" t="str">
        <f t="shared" si="91"/>
        <v/>
      </c>
      <c r="CD201" s="609"/>
      <c r="CE201" s="609"/>
      <c r="CF201" s="609"/>
      <c r="CG201" s="609" t="str">
        <f t="shared" si="92"/>
        <v/>
      </c>
      <c r="CH201" s="609"/>
      <c r="CI201" s="609"/>
      <c r="CJ201" s="609"/>
      <c r="CK201" s="662" t="str">
        <f t="shared" si="93"/>
        <v/>
      </c>
      <c r="CL201" s="662"/>
      <c r="CM201" s="608" t="str">
        <f t="shared" si="90"/>
        <v/>
      </c>
      <c r="CN201" s="609"/>
      <c r="CO201" s="609"/>
      <c r="CP201" s="609"/>
      <c r="CQ201" s="609"/>
      <c r="CR201" s="610"/>
    </row>
    <row r="202" spans="2:96" ht="14.25" customHeight="1" x14ac:dyDescent="0.25">
      <c r="B202" s="865"/>
      <c r="C202" s="866"/>
      <c r="D202" s="472">
        <v>3</v>
      </c>
      <c r="E202" s="289"/>
      <c r="F202" s="333"/>
      <c r="G202" s="333"/>
      <c r="H202" s="333"/>
      <c r="I202" s="290"/>
      <c r="CC202" s="608" t="str">
        <f t="shared" si="91"/>
        <v/>
      </c>
      <c r="CD202" s="609"/>
      <c r="CE202" s="609"/>
      <c r="CF202" s="609"/>
      <c r="CG202" s="609" t="str">
        <f t="shared" si="92"/>
        <v/>
      </c>
      <c r="CH202" s="609"/>
      <c r="CI202" s="609"/>
      <c r="CJ202" s="609"/>
      <c r="CK202" s="662" t="str">
        <f t="shared" si="93"/>
        <v/>
      </c>
      <c r="CL202" s="662"/>
      <c r="CM202" s="608" t="str">
        <f t="shared" si="90"/>
        <v/>
      </c>
      <c r="CN202" s="609"/>
      <c r="CO202" s="609"/>
      <c r="CP202" s="609"/>
      <c r="CQ202" s="609"/>
      <c r="CR202" s="610"/>
    </row>
    <row r="203" spans="2:96" ht="14.25" customHeight="1" x14ac:dyDescent="0.25">
      <c r="B203" s="865"/>
      <c r="C203" s="866"/>
      <c r="D203" s="472">
        <v>2</v>
      </c>
      <c r="E203" s="327"/>
      <c r="F203" s="289"/>
      <c r="G203" s="289"/>
      <c r="H203" s="289"/>
      <c r="I203" s="290"/>
      <c r="CC203" s="608" t="str">
        <f t="shared" si="91"/>
        <v/>
      </c>
      <c r="CD203" s="609"/>
      <c r="CE203" s="609"/>
      <c r="CF203" s="609"/>
      <c r="CG203" s="609" t="str">
        <f t="shared" si="92"/>
        <v/>
      </c>
      <c r="CH203" s="609"/>
      <c r="CI203" s="609"/>
      <c r="CJ203" s="609"/>
      <c r="CK203" s="662" t="str">
        <f t="shared" si="93"/>
        <v/>
      </c>
      <c r="CL203" s="662"/>
      <c r="CM203" s="608" t="str">
        <f t="shared" si="90"/>
        <v/>
      </c>
      <c r="CN203" s="609"/>
      <c r="CO203" s="609"/>
      <c r="CP203" s="609"/>
      <c r="CQ203" s="609"/>
      <c r="CR203" s="610"/>
    </row>
    <row r="204" spans="2:96" ht="14.25" customHeight="1" thickBot="1" x14ac:dyDescent="0.3">
      <c r="B204" s="877"/>
      <c r="C204" s="878"/>
      <c r="D204" s="334">
        <v>1</v>
      </c>
      <c r="E204" s="335"/>
      <c r="F204" s="335"/>
      <c r="G204" s="335"/>
      <c r="H204" s="335"/>
      <c r="I204" s="336"/>
      <c r="CC204" s="608" t="str">
        <f t="shared" si="91"/>
        <v/>
      </c>
      <c r="CD204" s="609"/>
      <c r="CE204" s="609"/>
      <c r="CF204" s="609"/>
      <c r="CG204" s="609" t="str">
        <f t="shared" si="92"/>
        <v/>
      </c>
      <c r="CH204" s="609"/>
      <c r="CI204" s="609"/>
      <c r="CJ204" s="609"/>
      <c r="CK204" s="662" t="str">
        <f t="shared" si="93"/>
        <v/>
      </c>
      <c r="CL204" s="662"/>
      <c r="CM204" s="608" t="str">
        <f t="shared" si="90"/>
        <v/>
      </c>
      <c r="CN204" s="609"/>
      <c r="CO204" s="609"/>
      <c r="CP204" s="609"/>
      <c r="CQ204" s="609"/>
      <c r="CR204" s="610"/>
    </row>
    <row r="205" spans="2:96" ht="14.25" customHeight="1" thickTop="1" x14ac:dyDescent="0.25">
      <c r="CC205" s="611" t="str">
        <f t="shared" si="91"/>
        <v/>
      </c>
      <c r="CD205" s="612"/>
      <c r="CE205" s="612"/>
      <c r="CF205" s="612"/>
      <c r="CG205" s="612" t="str">
        <f t="shared" si="92"/>
        <v/>
      </c>
      <c r="CH205" s="612"/>
      <c r="CI205" s="612"/>
      <c r="CJ205" s="612"/>
      <c r="CK205" s="663" t="str">
        <f t="shared" si="93"/>
        <v/>
      </c>
      <c r="CL205" s="663"/>
      <c r="CM205" s="608" t="str">
        <f t="shared" si="90"/>
        <v/>
      </c>
      <c r="CN205" s="609"/>
      <c r="CO205" s="609"/>
      <c r="CP205" s="609"/>
      <c r="CQ205" s="609"/>
      <c r="CR205" s="610"/>
    </row>
    <row r="206" spans="2:96" ht="14.25" customHeight="1" x14ac:dyDescent="0.25">
      <c r="CC206" s="656" t="s">
        <v>2198</v>
      </c>
      <c r="CD206" s="657"/>
      <c r="CE206" s="657"/>
      <c r="CF206" s="664" t="s">
        <v>2199</v>
      </c>
      <c r="CG206" s="664"/>
      <c r="CH206" s="665" t="s">
        <v>2200</v>
      </c>
      <c r="CI206" s="665"/>
      <c r="CJ206" s="452" t="s">
        <v>2193</v>
      </c>
      <c r="CK206" s="609" t="s">
        <v>2194</v>
      </c>
      <c r="CL206" s="609"/>
      <c r="CM206" s="611" t="str">
        <f t="shared" si="90"/>
        <v/>
      </c>
      <c r="CN206" s="612"/>
      <c r="CO206" s="612"/>
      <c r="CP206" s="612"/>
      <c r="CQ206" s="612"/>
      <c r="CR206" s="613"/>
    </row>
    <row r="207" spans="2:96" ht="14.25" customHeight="1" x14ac:dyDescent="0.25">
      <c r="CC207" s="659" t="str">
        <f t="shared" ref="CC207:CC212" si="94">IF(L139&lt;&gt;"",L139,"")</f>
        <v/>
      </c>
      <c r="CD207" s="660"/>
      <c r="CE207" s="660"/>
      <c r="CF207" s="660" t="str">
        <f t="shared" ref="CF207" si="95">IF(CC207&lt;&gt;"",VLOOKUP(CC207,OathChart,5,FALSE),"")</f>
        <v/>
      </c>
      <c r="CG207" s="660"/>
      <c r="CH207" s="660" t="str">
        <f t="shared" ref="CH207" si="96">IF(CC207&lt;&gt;"",VLOOKUP(CC207,OathChart,6,FALSE),"")</f>
        <v/>
      </c>
      <c r="CI207" s="660"/>
      <c r="CJ207" s="474" t="str">
        <f t="shared" ref="CJ207" si="97">IF(CC207&lt;&gt;"",VLOOKUP(CC207,OathChart,8,FALSE),"")</f>
        <v/>
      </c>
      <c r="CK207" s="660" t="str">
        <f t="shared" ref="CK207" si="98">IF(CC207&lt;&gt;"",VLOOKUP(CC207,OathChart,9,FALSE),"")</f>
        <v/>
      </c>
      <c r="CL207" s="661"/>
      <c r="CM207" s="668" t="s">
        <v>2202</v>
      </c>
      <c r="CN207" s="669"/>
      <c r="CO207" s="669"/>
      <c r="CP207" s="669"/>
      <c r="CQ207" s="669"/>
      <c r="CR207" s="670"/>
    </row>
    <row r="208" spans="2:96" ht="14.25" customHeight="1" x14ac:dyDescent="0.25">
      <c r="CC208" s="608" t="str">
        <f t="shared" si="94"/>
        <v/>
      </c>
      <c r="CD208" s="609"/>
      <c r="CE208" s="609"/>
      <c r="CF208" s="609" t="str">
        <f t="shared" ref="CF208:CF213" si="99">IF(CC208&lt;&gt;"",VLOOKUP(CC208,OathChart,5,FALSE),"")</f>
        <v/>
      </c>
      <c r="CG208" s="609"/>
      <c r="CH208" s="609" t="str">
        <f t="shared" ref="CH208:CH213" si="100">IF(CC208&lt;&gt;"",VLOOKUP(CC208,OathChart,6,FALSE),"")</f>
        <v/>
      </c>
      <c r="CI208" s="609"/>
      <c r="CJ208" s="452" t="str">
        <f t="shared" ref="CJ208:CJ213" si="101">IF(CC208&lt;&gt;"",VLOOKUP(CC208,OathChart,8,FALSE),"")</f>
        <v/>
      </c>
      <c r="CK208" s="609" t="str">
        <f t="shared" ref="CK208:CK213" si="102">IF(CC208&lt;&gt;"",VLOOKUP(CC208,OathChart,9,FALSE),"")</f>
        <v/>
      </c>
      <c r="CL208" s="609"/>
      <c r="CM208" s="606" t="s">
        <v>1346</v>
      </c>
      <c r="CN208" s="607"/>
      <c r="CO208" s="607"/>
      <c r="CP208" s="474"/>
      <c r="CQ208" s="482"/>
      <c r="CR208" s="483"/>
    </row>
    <row r="209" spans="81:96" ht="14.25" customHeight="1" x14ac:dyDescent="0.25">
      <c r="CC209" s="608" t="str">
        <f t="shared" si="94"/>
        <v/>
      </c>
      <c r="CD209" s="609"/>
      <c r="CE209" s="609"/>
      <c r="CF209" s="609" t="str">
        <f t="shared" si="99"/>
        <v/>
      </c>
      <c r="CG209" s="609"/>
      <c r="CH209" s="609" t="str">
        <f t="shared" si="100"/>
        <v/>
      </c>
      <c r="CI209" s="609"/>
      <c r="CJ209" s="452" t="str">
        <f t="shared" si="101"/>
        <v/>
      </c>
      <c r="CK209" s="609" t="str">
        <f t="shared" si="102"/>
        <v/>
      </c>
      <c r="CL209" s="609"/>
      <c r="CM209" s="608" t="str">
        <f>IF(L161&lt;&gt;"",L161,"")</f>
        <v/>
      </c>
      <c r="CN209" s="609"/>
      <c r="CO209" s="609"/>
      <c r="CP209" s="609"/>
      <c r="CQ209" s="609"/>
      <c r="CR209" s="610"/>
    </row>
    <row r="210" spans="81:96" ht="14.25" customHeight="1" x14ac:dyDescent="0.25">
      <c r="CC210" s="608" t="str">
        <f t="shared" si="94"/>
        <v/>
      </c>
      <c r="CD210" s="609"/>
      <c r="CE210" s="609"/>
      <c r="CF210" s="609" t="str">
        <f t="shared" si="99"/>
        <v/>
      </c>
      <c r="CG210" s="609"/>
      <c r="CH210" s="609" t="str">
        <f t="shared" si="100"/>
        <v/>
      </c>
      <c r="CI210" s="609"/>
      <c r="CJ210" s="452" t="str">
        <f t="shared" si="101"/>
        <v/>
      </c>
      <c r="CK210" s="609" t="str">
        <f t="shared" si="102"/>
        <v/>
      </c>
      <c r="CL210" s="609"/>
      <c r="CM210" s="608" t="str">
        <f>IF(L162&lt;&gt;"",L162,"")</f>
        <v/>
      </c>
      <c r="CN210" s="609"/>
      <c r="CO210" s="609"/>
      <c r="CP210" s="609"/>
      <c r="CQ210" s="609"/>
      <c r="CR210" s="610"/>
    </row>
    <row r="211" spans="81:96" ht="14.25" customHeight="1" x14ac:dyDescent="0.25">
      <c r="CC211" s="608" t="str">
        <f t="shared" si="94"/>
        <v/>
      </c>
      <c r="CD211" s="609"/>
      <c r="CE211" s="609"/>
      <c r="CF211" s="609" t="str">
        <f t="shared" si="99"/>
        <v/>
      </c>
      <c r="CG211" s="609"/>
      <c r="CH211" s="609" t="str">
        <f t="shared" si="100"/>
        <v/>
      </c>
      <c r="CI211" s="609"/>
      <c r="CJ211" s="452" t="str">
        <f t="shared" si="101"/>
        <v/>
      </c>
      <c r="CK211" s="609" t="str">
        <f t="shared" si="102"/>
        <v/>
      </c>
      <c r="CL211" s="609"/>
      <c r="CM211" s="608" t="str">
        <f>IF(L163&lt;&gt;"",L163,"")</f>
        <v/>
      </c>
      <c r="CN211" s="609"/>
      <c r="CO211" s="609"/>
      <c r="CP211" s="609"/>
      <c r="CQ211" s="609"/>
      <c r="CR211" s="610"/>
    </row>
    <row r="212" spans="81:96" ht="14.25" customHeight="1" x14ac:dyDescent="0.25">
      <c r="CC212" s="608" t="str">
        <f t="shared" si="94"/>
        <v/>
      </c>
      <c r="CD212" s="609"/>
      <c r="CE212" s="609"/>
      <c r="CF212" s="609" t="str">
        <f t="shared" si="99"/>
        <v/>
      </c>
      <c r="CG212" s="609"/>
      <c r="CH212" s="609" t="str">
        <f t="shared" si="100"/>
        <v/>
      </c>
      <c r="CI212" s="609"/>
      <c r="CJ212" s="452" t="str">
        <f t="shared" si="101"/>
        <v/>
      </c>
      <c r="CK212" s="609" t="str">
        <f t="shared" si="102"/>
        <v/>
      </c>
      <c r="CL212" s="609"/>
      <c r="CM212" s="608" t="str">
        <f>IF(L164&lt;&gt;"",L164,"")</f>
        <v/>
      </c>
      <c r="CN212" s="609"/>
      <c r="CO212" s="609"/>
      <c r="CP212" s="609"/>
      <c r="CQ212" s="609"/>
      <c r="CR212" s="610"/>
    </row>
    <row r="213" spans="81:96" ht="14.25" customHeight="1" x14ac:dyDescent="0.25">
      <c r="CC213" s="608" t="str">
        <f t="shared" ref="CC213:CC218" si="103">IF(R139&lt;&gt;"",R139,"")</f>
        <v/>
      </c>
      <c r="CD213" s="609"/>
      <c r="CE213" s="609"/>
      <c r="CF213" s="609" t="str">
        <f t="shared" si="99"/>
        <v/>
      </c>
      <c r="CG213" s="609"/>
      <c r="CH213" s="609" t="str">
        <f t="shared" si="100"/>
        <v/>
      </c>
      <c r="CI213" s="609"/>
      <c r="CJ213" s="452" t="str">
        <f t="shared" si="101"/>
        <v/>
      </c>
      <c r="CK213" s="609" t="str">
        <f t="shared" si="102"/>
        <v/>
      </c>
      <c r="CL213" s="609"/>
      <c r="CM213" s="608" t="str">
        <f>IF(L165&lt;&gt;"",L165,"")</f>
        <v/>
      </c>
      <c r="CN213" s="609"/>
      <c r="CO213" s="609"/>
      <c r="CP213" s="609"/>
      <c r="CQ213" s="609"/>
      <c r="CR213" s="610"/>
    </row>
    <row r="214" spans="81:96" ht="14.25" customHeight="1" x14ac:dyDescent="0.25">
      <c r="CC214" s="608" t="str">
        <f t="shared" si="103"/>
        <v/>
      </c>
      <c r="CD214" s="609"/>
      <c r="CE214" s="609"/>
      <c r="CF214" s="609" t="str">
        <f t="shared" ref="CF214:CF218" si="104">IF(CC214&lt;&gt;"",VLOOKUP(CC214,OathChart,5,FALSE),"")</f>
        <v/>
      </c>
      <c r="CG214" s="609"/>
      <c r="CH214" s="609" t="str">
        <f t="shared" ref="CH214:CH218" si="105">IF(CC214&lt;&gt;"",VLOOKUP(CC214,OathChart,6,FALSE),"")</f>
        <v/>
      </c>
      <c r="CI214" s="609"/>
      <c r="CJ214" s="452" t="str">
        <f t="shared" ref="CJ214:CJ218" si="106">IF(CC214&lt;&gt;"",VLOOKUP(CC214,OathChart,8,FALSE),"")</f>
        <v/>
      </c>
      <c r="CK214" s="609" t="str">
        <f t="shared" ref="CK214:CK218" si="107">IF(CC214&lt;&gt;"",VLOOKUP(CC214,OathChart,9,FALSE),"")</f>
        <v/>
      </c>
      <c r="CL214" s="609"/>
      <c r="CM214" s="608" t="str">
        <f>IF(R161&lt;&gt;"",R161,"")</f>
        <v/>
      </c>
      <c r="CN214" s="609"/>
      <c r="CO214" s="609"/>
      <c r="CP214" s="609"/>
      <c r="CQ214" s="609"/>
      <c r="CR214" s="610"/>
    </row>
    <row r="215" spans="81:96" ht="14.25" customHeight="1" x14ac:dyDescent="0.25">
      <c r="CC215" s="608" t="str">
        <f t="shared" si="103"/>
        <v/>
      </c>
      <c r="CD215" s="609"/>
      <c r="CE215" s="609"/>
      <c r="CF215" s="609" t="str">
        <f t="shared" si="104"/>
        <v/>
      </c>
      <c r="CG215" s="609"/>
      <c r="CH215" s="609" t="str">
        <f t="shared" si="105"/>
        <v/>
      </c>
      <c r="CI215" s="609"/>
      <c r="CJ215" s="452" t="str">
        <f t="shared" si="106"/>
        <v/>
      </c>
      <c r="CK215" s="609" t="str">
        <f t="shared" si="107"/>
        <v/>
      </c>
      <c r="CL215" s="609"/>
      <c r="CM215" s="608" t="str">
        <f>IF(R162&lt;&gt;"",R162,"")</f>
        <v/>
      </c>
      <c r="CN215" s="609"/>
      <c r="CO215" s="609"/>
      <c r="CP215" s="609"/>
      <c r="CQ215" s="609"/>
      <c r="CR215" s="610"/>
    </row>
    <row r="216" spans="81:96" ht="14.25" customHeight="1" x14ac:dyDescent="0.25">
      <c r="CC216" s="608" t="str">
        <f t="shared" si="103"/>
        <v/>
      </c>
      <c r="CD216" s="609"/>
      <c r="CE216" s="609"/>
      <c r="CF216" s="609" t="str">
        <f t="shared" si="104"/>
        <v/>
      </c>
      <c r="CG216" s="609"/>
      <c r="CH216" s="609" t="str">
        <f t="shared" si="105"/>
        <v/>
      </c>
      <c r="CI216" s="609"/>
      <c r="CJ216" s="452" t="str">
        <f t="shared" si="106"/>
        <v/>
      </c>
      <c r="CK216" s="609" t="str">
        <f t="shared" si="107"/>
        <v/>
      </c>
      <c r="CL216" s="609"/>
      <c r="CM216" s="608" t="str">
        <f>IF(R163&lt;&gt;"",R163,"")</f>
        <v/>
      </c>
      <c r="CN216" s="609"/>
      <c r="CO216" s="609"/>
      <c r="CP216" s="609"/>
      <c r="CQ216" s="609"/>
      <c r="CR216" s="610"/>
    </row>
    <row r="217" spans="81:96" ht="14.25" customHeight="1" x14ac:dyDescent="0.25">
      <c r="CC217" s="608" t="str">
        <f t="shared" si="103"/>
        <v/>
      </c>
      <c r="CD217" s="609"/>
      <c r="CE217" s="609"/>
      <c r="CF217" s="609" t="str">
        <f t="shared" si="104"/>
        <v/>
      </c>
      <c r="CG217" s="609"/>
      <c r="CH217" s="609" t="str">
        <f t="shared" si="105"/>
        <v/>
      </c>
      <c r="CI217" s="609"/>
      <c r="CJ217" s="452" t="str">
        <f t="shared" si="106"/>
        <v/>
      </c>
      <c r="CK217" s="609" t="str">
        <f t="shared" si="107"/>
        <v/>
      </c>
      <c r="CL217" s="609"/>
      <c r="CM217" s="608" t="str">
        <f>IF(R164&lt;&gt;"",R164,"")</f>
        <v/>
      </c>
      <c r="CN217" s="609"/>
      <c r="CO217" s="609"/>
      <c r="CP217" s="609"/>
      <c r="CQ217" s="609"/>
      <c r="CR217" s="610"/>
    </row>
    <row r="218" spans="81:96" ht="14.25" customHeight="1" x14ac:dyDescent="0.25">
      <c r="CC218" s="611" t="str">
        <f t="shared" si="103"/>
        <v/>
      </c>
      <c r="CD218" s="612"/>
      <c r="CE218" s="612"/>
      <c r="CF218" s="612" t="str">
        <f t="shared" si="104"/>
        <v/>
      </c>
      <c r="CG218" s="612"/>
      <c r="CH218" s="612" t="str">
        <f t="shared" si="105"/>
        <v/>
      </c>
      <c r="CI218" s="612"/>
      <c r="CJ218" s="477" t="str">
        <f t="shared" si="106"/>
        <v/>
      </c>
      <c r="CK218" s="612" t="str">
        <f t="shared" si="107"/>
        <v/>
      </c>
      <c r="CL218" s="612"/>
      <c r="CM218" s="611" t="str">
        <f>IF(R165&lt;&gt;"",R165,"")</f>
        <v/>
      </c>
      <c r="CN218" s="612"/>
      <c r="CO218" s="612"/>
      <c r="CP218" s="612"/>
      <c r="CQ218" s="612"/>
      <c r="CR218" s="613"/>
    </row>
    <row r="219" spans="81:96" ht="14.25" customHeight="1" x14ac:dyDescent="0.25">
      <c r="CC219" s="486"/>
      <c r="CD219" s="486"/>
      <c r="CE219" s="486"/>
      <c r="CF219" s="486"/>
      <c r="CG219" s="486"/>
      <c r="CH219" s="464"/>
      <c r="CI219" s="486"/>
      <c r="CJ219" s="486"/>
      <c r="CK219" s="486"/>
      <c r="CL219" s="486"/>
      <c r="CM219" s="486"/>
      <c r="CN219" s="486"/>
      <c r="CO219" s="486"/>
      <c r="CP219" s="464"/>
      <c r="CQ219" s="486"/>
      <c r="CR219" s="486"/>
    </row>
    <row r="220" spans="81:96" ht="14.25" customHeight="1" x14ac:dyDescent="0.25">
      <c r="CC220" s="486"/>
      <c r="CD220" s="486"/>
      <c r="CE220" s="486"/>
      <c r="CF220" s="486"/>
      <c r="CG220" s="486"/>
      <c r="CH220" s="464"/>
      <c r="CI220" s="486"/>
      <c r="CJ220" s="486"/>
      <c r="CK220" s="486"/>
      <c r="CL220" s="486"/>
      <c r="CM220" s="486"/>
      <c r="CN220" s="486"/>
      <c r="CO220" s="486"/>
      <c r="CP220" s="464"/>
      <c r="CQ220" s="486"/>
      <c r="CR220" s="486"/>
    </row>
    <row r="221" spans="81:96" ht="14.25" customHeight="1" x14ac:dyDescent="0.25">
      <c r="CC221" s="486"/>
      <c r="CD221" s="486"/>
      <c r="CE221" s="486"/>
      <c r="CF221" s="486"/>
      <c r="CG221" s="486"/>
      <c r="CH221" s="464"/>
      <c r="CI221" s="486"/>
      <c r="CJ221" s="486"/>
      <c r="CK221" s="486"/>
      <c r="CL221" s="486"/>
      <c r="CM221" s="486"/>
      <c r="CN221" s="486"/>
      <c r="CO221" s="486"/>
      <c r="CP221" s="464"/>
      <c r="CQ221" s="486"/>
      <c r="CR221" s="486"/>
    </row>
    <row r="222" spans="81:96" ht="14.25" customHeight="1" x14ac:dyDescent="0.25"/>
    <row r="223" spans="81:96" ht="14.25" customHeight="1" x14ac:dyDescent="0.25"/>
    <row r="224" spans="81:96"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sheetData>
  <sheetProtection password="8719" sheet="1" objects="1" scenarios="1" formatCells="0" formatRows="0" insertColumns="0" insertRows="0"/>
  <sortState ref="AM113:AM154">
    <sortCondition ref="AM113:AM154"/>
  </sortState>
  <mergeCells count="1500">
    <mergeCell ref="CC203:CF203"/>
    <mergeCell ref="CG203:CJ203"/>
    <mergeCell ref="CK203:CL203"/>
    <mergeCell ref="CK216:CL216"/>
    <mergeCell ref="CH50:CI50"/>
    <mergeCell ref="CL50:CN50"/>
    <mergeCell ref="CC50:CE50"/>
    <mergeCell ref="CF50:CG50"/>
    <mergeCell ref="CC51:CE51"/>
    <mergeCell ref="CF51:CG51"/>
    <mergeCell ref="CC52:CE52"/>
    <mergeCell ref="CF52:CG52"/>
    <mergeCell ref="CC2:CG2"/>
    <mergeCell ref="CH2:CL2"/>
    <mergeCell ref="CM2:CR2"/>
    <mergeCell ref="CC4:CG4"/>
    <mergeCell ref="CC3:CG3"/>
    <mergeCell ref="CH3:CL3"/>
    <mergeCell ref="CH4:CL4"/>
    <mergeCell ref="CM3:CR3"/>
    <mergeCell ref="CM4:CR4"/>
    <mergeCell ref="CH35:CL35"/>
    <mergeCell ref="CH36:CK36"/>
    <mergeCell ref="CH37:CK37"/>
    <mergeCell ref="CH38:CK38"/>
    <mergeCell ref="CH39:CK39"/>
    <mergeCell ref="CH46:CI46"/>
    <mergeCell ref="CH47:CI47"/>
    <mergeCell ref="CH48:CI48"/>
    <mergeCell ref="CK208:CL208"/>
    <mergeCell ref="CK209:CL209"/>
    <mergeCell ref="CK206:CL206"/>
    <mergeCell ref="CH208:CI208"/>
    <mergeCell ref="CC209:CE209"/>
    <mergeCell ref="CF209:CG209"/>
    <mergeCell ref="CH209:CI209"/>
    <mergeCell ref="CK214:CL214"/>
    <mergeCell ref="CK215:CL215"/>
    <mergeCell ref="CK212:CL212"/>
    <mergeCell ref="CK213:CL213"/>
    <mergeCell ref="CK210:CL210"/>
    <mergeCell ref="CK211:CL211"/>
    <mergeCell ref="CC210:CE210"/>
    <mergeCell ref="CF210:CG210"/>
    <mergeCell ref="CH210:CI210"/>
    <mergeCell ref="CC211:CE211"/>
    <mergeCell ref="CF211:CG211"/>
    <mergeCell ref="CH211:CI211"/>
    <mergeCell ref="CC212:CE212"/>
    <mergeCell ref="CF212:CG212"/>
    <mergeCell ref="CH212:CI212"/>
    <mergeCell ref="CC213:CE213"/>
    <mergeCell ref="CF213:CG213"/>
    <mergeCell ref="CH213:CI213"/>
    <mergeCell ref="CC214:CE214"/>
    <mergeCell ref="CF214:CG214"/>
    <mergeCell ref="CH214:CI214"/>
    <mergeCell ref="CC215:CE215"/>
    <mergeCell ref="CF215:CG215"/>
    <mergeCell ref="CH215:CI215"/>
    <mergeCell ref="CK207:CL207"/>
    <mergeCell ref="CC208:CE208"/>
    <mergeCell ref="CF208:CG208"/>
    <mergeCell ref="CC193:CH193"/>
    <mergeCell ref="CI193:CJ193"/>
    <mergeCell ref="CK193:CL193"/>
    <mergeCell ref="CC194:CH194"/>
    <mergeCell ref="CI194:CJ194"/>
    <mergeCell ref="CK200:CL200"/>
    <mergeCell ref="CK201:CL201"/>
    <mergeCell ref="CK198:CL198"/>
    <mergeCell ref="CK199:CL199"/>
    <mergeCell ref="CC196:CF196"/>
    <mergeCell ref="CG196:CJ196"/>
    <mergeCell ref="CK196:CL196"/>
    <mergeCell ref="CC197:CF197"/>
    <mergeCell ref="CG197:CJ197"/>
    <mergeCell ref="CK197:CL197"/>
    <mergeCell ref="CC198:CF198"/>
    <mergeCell ref="CG198:CJ198"/>
    <mergeCell ref="CC199:CF199"/>
    <mergeCell ref="CG199:CJ199"/>
    <mergeCell ref="CC200:CF200"/>
    <mergeCell ref="CG200:CJ200"/>
    <mergeCell ref="CC201:CF201"/>
    <mergeCell ref="CG201:CJ201"/>
    <mergeCell ref="CK194:CL194"/>
    <mergeCell ref="CC195:CF195"/>
    <mergeCell ref="CG195:CJ195"/>
    <mergeCell ref="CK195:CL195"/>
    <mergeCell ref="CG204:CJ204"/>
    <mergeCell ref="CK204:CL204"/>
    <mergeCell ref="CK191:CL191"/>
    <mergeCell ref="CC192:CH192"/>
    <mergeCell ref="CI192:CJ192"/>
    <mergeCell ref="CK192:CL192"/>
    <mergeCell ref="CI189:CJ189"/>
    <mergeCell ref="CK189:CL189"/>
    <mergeCell ref="CC180:CD184"/>
    <mergeCell ref="CE180:CG184"/>
    <mergeCell ref="CH180:CL184"/>
    <mergeCell ref="CC164:CE164"/>
    <mergeCell ref="CG164:CI164"/>
    <mergeCell ref="CC161:CE161"/>
    <mergeCell ref="CG161:CI161"/>
    <mergeCell ref="CC162:CE162"/>
    <mergeCell ref="CG162:CI162"/>
    <mergeCell ref="CC163:CE163"/>
    <mergeCell ref="CG163:CI163"/>
    <mergeCell ref="CI176:CL176"/>
    <mergeCell ref="CC177:CD177"/>
    <mergeCell ref="CE177:CG177"/>
    <mergeCell ref="CI177:CL177"/>
    <mergeCell ref="CC176:CD176"/>
    <mergeCell ref="CE176:CG176"/>
    <mergeCell ref="CC173:CG173"/>
    <mergeCell ref="CI173:CL173"/>
    <mergeCell ref="CC174:CG174"/>
    <mergeCell ref="CI174:CL174"/>
    <mergeCell ref="CI175:CL175"/>
    <mergeCell ref="CC175:CD175"/>
    <mergeCell ref="CE175:CG175"/>
    <mergeCell ref="CC172:CD172"/>
    <mergeCell ref="CE172:CG172"/>
    <mergeCell ref="CI172:CL172"/>
    <mergeCell ref="CJ161:CM161"/>
    <mergeCell ref="CC168:CG168"/>
    <mergeCell ref="CH168:CL168"/>
    <mergeCell ref="CM168:CR168"/>
    <mergeCell ref="CC169:CG169"/>
    <mergeCell ref="CH169:CL169"/>
    <mergeCell ref="CM169:CR169"/>
    <mergeCell ref="CC170:CG170"/>
    <mergeCell ref="CC158:CE158"/>
    <mergeCell ref="CG158:CI158"/>
    <mergeCell ref="CJ158:CM158"/>
    <mergeCell ref="CP158:CR158"/>
    <mergeCell ref="CC159:CE159"/>
    <mergeCell ref="CG159:CI159"/>
    <mergeCell ref="CJ159:CM159"/>
    <mergeCell ref="CP159:CR159"/>
    <mergeCell ref="CC160:CE160"/>
    <mergeCell ref="CG160:CI160"/>
    <mergeCell ref="CC155:CE155"/>
    <mergeCell ref="CG155:CI155"/>
    <mergeCell ref="CJ155:CM155"/>
    <mergeCell ref="CP155:CR155"/>
    <mergeCell ref="CC156:CE156"/>
    <mergeCell ref="CG156:CI156"/>
    <mergeCell ref="CJ156:CM156"/>
    <mergeCell ref="CP156:CR156"/>
    <mergeCell ref="CC157:CE157"/>
    <mergeCell ref="CG157:CI157"/>
    <mergeCell ref="CJ157:CM157"/>
    <mergeCell ref="CP157:CR157"/>
    <mergeCell ref="CJ160:CM160"/>
    <mergeCell ref="CP160:CR160"/>
    <mergeCell ref="CC152:CE152"/>
    <mergeCell ref="CG152:CI152"/>
    <mergeCell ref="CJ152:CM152"/>
    <mergeCell ref="CP152:CR152"/>
    <mergeCell ref="CC153:CE153"/>
    <mergeCell ref="CG153:CI153"/>
    <mergeCell ref="CJ153:CM153"/>
    <mergeCell ref="CP153:CR153"/>
    <mergeCell ref="CC154:CE154"/>
    <mergeCell ref="CG154:CI154"/>
    <mergeCell ref="CJ154:CM154"/>
    <mergeCell ref="CP154:CR154"/>
    <mergeCell ref="CC149:CE149"/>
    <mergeCell ref="CG149:CI149"/>
    <mergeCell ref="CJ149:CM149"/>
    <mergeCell ref="CP149:CR149"/>
    <mergeCell ref="CC150:CE150"/>
    <mergeCell ref="CG150:CI150"/>
    <mergeCell ref="CJ150:CM150"/>
    <mergeCell ref="CP150:CR150"/>
    <mergeCell ref="CC151:CE151"/>
    <mergeCell ref="CG151:CI151"/>
    <mergeCell ref="CJ151:CM151"/>
    <mergeCell ref="CP151:CR151"/>
    <mergeCell ref="CP146:CR146"/>
    <mergeCell ref="CC147:CE147"/>
    <mergeCell ref="CG147:CI147"/>
    <mergeCell ref="CJ147:CM147"/>
    <mergeCell ref="CP147:CR147"/>
    <mergeCell ref="CC148:CE148"/>
    <mergeCell ref="CG148:CI148"/>
    <mergeCell ref="CJ148:CM148"/>
    <mergeCell ref="CP148:CR148"/>
    <mergeCell ref="CC143:CE143"/>
    <mergeCell ref="CG143:CI143"/>
    <mergeCell ref="CJ143:CM143"/>
    <mergeCell ref="CP143:CR143"/>
    <mergeCell ref="CC144:CE144"/>
    <mergeCell ref="CG144:CI144"/>
    <mergeCell ref="CJ144:CM144"/>
    <mergeCell ref="CP144:CR144"/>
    <mergeCell ref="CC145:CE145"/>
    <mergeCell ref="CG145:CI145"/>
    <mergeCell ref="CJ145:CM145"/>
    <mergeCell ref="CP145:CR145"/>
    <mergeCell ref="CP140:CR140"/>
    <mergeCell ref="CC141:CE141"/>
    <mergeCell ref="CG141:CI141"/>
    <mergeCell ref="CJ141:CM141"/>
    <mergeCell ref="CP141:CR141"/>
    <mergeCell ref="CC142:CE142"/>
    <mergeCell ref="CG142:CI142"/>
    <mergeCell ref="CJ142:CM142"/>
    <mergeCell ref="CP142:CR142"/>
    <mergeCell ref="CC137:CE137"/>
    <mergeCell ref="CG137:CI137"/>
    <mergeCell ref="CJ137:CM137"/>
    <mergeCell ref="CP137:CR137"/>
    <mergeCell ref="CC138:CE138"/>
    <mergeCell ref="CG138:CI138"/>
    <mergeCell ref="CJ138:CM138"/>
    <mergeCell ref="CP138:CR138"/>
    <mergeCell ref="CC139:CE139"/>
    <mergeCell ref="CG139:CI139"/>
    <mergeCell ref="CJ139:CM139"/>
    <mergeCell ref="CP139:CR139"/>
    <mergeCell ref="CC135:CE135"/>
    <mergeCell ref="CG135:CI135"/>
    <mergeCell ref="CJ135:CM135"/>
    <mergeCell ref="CP135:CR135"/>
    <mergeCell ref="CC136:CE136"/>
    <mergeCell ref="CG136:CI136"/>
    <mergeCell ref="CJ136:CM136"/>
    <mergeCell ref="CP136:CR136"/>
    <mergeCell ref="CC131:CE131"/>
    <mergeCell ref="CG131:CI131"/>
    <mergeCell ref="CJ131:CM131"/>
    <mergeCell ref="CP131:CR131"/>
    <mergeCell ref="CC132:CE132"/>
    <mergeCell ref="CG132:CI132"/>
    <mergeCell ref="CJ132:CM132"/>
    <mergeCell ref="CP132:CR132"/>
    <mergeCell ref="CC133:CE133"/>
    <mergeCell ref="CG133:CI133"/>
    <mergeCell ref="CJ133:CM133"/>
    <mergeCell ref="CP133:CR133"/>
    <mergeCell ref="CC130:CE130"/>
    <mergeCell ref="CG130:CI130"/>
    <mergeCell ref="CJ130:CM130"/>
    <mergeCell ref="CP130:CR130"/>
    <mergeCell ref="CC125:CE125"/>
    <mergeCell ref="CG125:CI125"/>
    <mergeCell ref="CJ125:CM125"/>
    <mergeCell ref="CP125:CR125"/>
    <mergeCell ref="CC126:CE126"/>
    <mergeCell ref="CG126:CI126"/>
    <mergeCell ref="CJ126:CM126"/>
    <mergeCell ref="CP126:CR126"/>
    <mergeCell ref="CC127:CE127"/>
    <mergeCell ref="CG127:CI127"/>
    <mergeCell ref="CJ127:CM127"/>
    <mergeCell ref="CP127:CR127"/>
    <mergeCell ref="CP134:CR134"/>
    <mergeCell ref="CG124:CI124"/>
    <mergeCell ref="CJ124:CM124"/>
    <mergeCell ref="CP124:CR124"/>
    <mergeCell ref="CC119:CE119"/>
    <mergeCell ref="CG119:CI119"/>
    <mergeCell ref="CJ119:CM119"/>
    <mergeCell ref="CP119:CR119"/>
    <mergeCell ref="CC120:CE120"/>
    <mergeCell ref="CG120:CI120"/>
    <mergeCell ref="CJ120:CM120"/>
    <mergeCell ref="CP120:CR120"/>
    <mergeCell ref="CC121:CE121"/>
    <mergeCell ref="CG121:CI121"/>
    <mergeCell ref="CJ121:CM121"/>
    <mergeCell ref="CP121:CR121"/>
    <mergeCell ref="CP128:CR128"/>
    <mergeCell ref="CC129:CE129"/>
    <mergeCell ref="CG129:CI129"/>
    <mergeCell ref="CJ129:CM129"/>
    <mergeCell ref="CP129:CR129"/>
    <mergeCell ref="CC103:CD103"/>
    <mergeCell ref="CE103:CG103"/>
    <mergeCell ref="CI103:CL103"/>
    <mergeCell ref="CM103:CR103"/>
    <mergeCell ref="CC104:CD104"/>
    <mergeCell ref="CE104:CG104"/>
    <mergeCell ref="CI104:CL104"/>
    <mergeCell ref="CM104:CR104"/>
    <mergeCell ref="CC105:CD105"/>
    <mergeCell ref="CE105:CG105"/>
    <mergeCell ref="CI105:CL105"/>
    <mergeCell ref="CM105:CR105"/>
    <mergeCell ref="CC100:CD100"/>
    <mergeCell ref="CE100:CG100"/>
    <mergeCell ref="CI100:CL100"/>
    <mergeCell ref="CM100:CR100"/>
    <mergeCell ref="CC101:CD101"/>
    <mergeCell ref="CE101:CG101"/>
    <mergeCell ref="CI101:CL101"/>
    <mergeCell ref="CM101:CR101"/>
    <mergeCell ref="CC102:CD102"/>
    <mergeCell ref="CE102:CG102"/>
    <mergeCell ref="CI102:CL102"/>
    <mergeCell ref="CM102:CR102"/>
    <mergeCell ref="CC97:CD97"/>
    <mergeCell ref="CE97:CG97"/>
    <mergeCell ref="CI97:CL97"/>
    <mergeCell ref="CM97:CR97"/>
    <mergeCell ref="CC98:CD98"/>
    <mergeCell ref="CE98:CG98"/>
    <mergeCell ref="CI98:CL98"/>
    <mergeCell ref="CM98:CR98"/>
    <mergeCell ref="CC99:CD99"/>
    <mergeCell ref="CE99:CL99"/>
    <mergeCell ref="CM99:CR99"/>
    <mergeCell ref="CC94:CD94"/>
    <mergeCell ref="CE94:CG94"/>
    <mergeCell ref="CI94:CL94"/>
    <mergeCell ref="CM94:CR94"/>
    <mergeCell ref="CC95:CD95"/>
    <mergeCell ref="CE95:CL95"/>
    <mergeCell ref="CM95:CR95"/>
    <mergeCell ref="CC96:CD96"/>
    <mergeCell ref="CE96:CG96"/>
    <mergeCell ref="CI96:CL96"/>
    <mergeCell ref="CM96:CR96"/>
    <mergeCell ref="CC91:CD91"/>
    <mergeCell ref="CE91:CG91"/>
    <mergeCell ref="CI91:CL91"/>
    <mergeCell ref="CM91:CR91"/>
    <mergeCell ref="CC92:CD92"/>
    <mergeCell ref="CE92:CG92"/>
    <mergeCell ref="CI92:CL92"/>
    <mergeCell ref="CM92:CR92"/>
    <mergeCell ref="CC93:CD93"/>
    <mergeCell ref="CE93:CG93"/>
    <mergeCell ref="CI93:CL93"/>
    <mergeCell ref="CM93:CR93"/>
    <mergeCell ref="CC88:CD88"/>
    <mergeCell ref="CE88:CG88"/>
    <mergeCell ref="CI88:CL88"/>
    <mergeCell ref="CM88:CR88"/>
    <mergeCell ref="CC89:CD89"/>
    <mergeCell ref="CE89:CG89"/>
    <mergeCell ref="CI89:CL89"/>
    <mergeCell ref="CM89:CR89"/>
    <mergeCell ref="CC90:CD90"/>
    <mergeCell ref="CE90:CG90"/>
    <mergeCell ref="CI90:CL90"/>
    <mergeCell ref="CM90:CR90"/>
    <mergeCell ref="CC76:CD76"/>
    <mergeCell ref="CE76:CG76"/>
    <mergeCell ref="CI76:CL76"/>
    <mergeCell ref="CC77:CD77"/>
    <mergeCell ref="CE77:CG77"/>
    <mergeCell ref="CI77:CL77"/>
    <mergeCell ref="CC78:CD78"/>
    <mergeCell ref="CE78:CG78"/>
    <mergeCell ref="CI78:CL78"/>
    <mergeCell ref="CM76:CP76"/>
    <mergeCell ref="CM77:CP77"/>
    <mergeCell ref="CM78:CP78"/>
    <mergeCell ref="CQ76:CR76"/>
    <mergeCell ref="CQ77:CR77"/>
    <mergeCell ref="CQ78:CR78"/>
    <mergeCell ref="CC85:CD85"/>
    <mergeCell ref="CE85:CG85"/>
    <mergeCell ref="CI85:CL85"/>
    <mergeCell ref="CM85:CR85"/>
    <mergeCell ref="CC82:CD82"/>
    <mergeCell ref="CE82:CG82"/>
    <mergeCell ref="CI82:CL82"/>
    <mergeCell ref="CM82:CR82"/>
    <mergeCell ref="CC83:CD83"/>
    <mergeCell ref="CE83:CG83"/>
    <mergeCell ref="CI83:CL83"/>
    <mergeCell ref="CM83:CR83"/>
    <mergeCell ref="CC84:CD84"/>
    <mergeCell ref="CE84:CG84"/>
    <mergeCell ref="CI84:CL84"/>
    <mergeCell ref="CM84:CR84"/>
    <mergeCell ref="CC74:CD74"/>
    <mergeCell ref="CE74:CG74"/>
    <mergeCell ref="CI74:CL74"/>
    <mergeCell ref="CM74:CP74"/>
    <mergeCell ref="CQ74:CR74"/>
    <mergeCell ref="CC75:CD75"/>
    <mergeCell ref="CE75:CG75"/>
    <mergeCell ref="CI75:CL75"/>
    <mergeCell ref="CM75:CR75"/>
    <mergeCell ref="CC72:CD72"/>
    <mergeCell ref="CE72:CG72"/>
    <mergeCell ref="CI72:CL72"/>
    <mergeCell ref="CM72:CN72"/>
    <mergeCell ref="CP72:CR72"/>
    <mergeCell ref="CC73:CD73"/>
    <mergeCell ref="CE73:CG73"/>
    <mergeCell ref="CI73:CJ73"/>
    <mergeCell ref="CK73:CL73"/>
    <mergeCell ref="CM73:CP73"/>
    <mergeCell ref="CQ73:CR73"/>
    <mergeCell ref="CC69:CD69"/>
    <mergeCell ref="CE69:CG69"/>
    <mergeCell ref="CI69:CL69"/>
    <mergeCell ref="CM69:CN69"/>
    <mergeCell ref="CP69:CQ69"/>
    <mergeCell ref="CC70:CD70"/>
    <mergeCell ref="CE70:CG70"/>
    <mergeCell ref="CI70:CL70"/>
    <mergeCell ref="CC71:CD71"/>
    <mergeCell ref="CE71:CG71"/>
    <mergeCell ref="CI71:CL71"/>
    <mergeCell ref="CM71:CN71"/>
    <mergeCell ref="CM70:CN70"/>
    <mergeCell ref="CC67:CD67"/>
    <mergeCell ref="CE67:CG67"/>
    <mergeCell ref="CI67:CL67"/>
    <mergeCell ref="CM67:CN67"/>
    <mergeCell ref="CP67:CR67"/>
    <mergeCell ref="CC68:CD68"/>
    <mergeCell ref="CE68:CG68"/>
    <mergeCell ref="CI68:CL68"/>
    <mergeCell ref="CM68:CN68"/>
    <mergeCell ref="CC65:CD65"/>
    <mergeCell ref="CE65:CG65"/>
    <mergeCell ref="CI65:CL65"/>
    <mergeCell ref="CM65:CN65"/>
    <mergeCell ref="CP65:CR65"/>
    <mergeCell ref="CC66:CD66"/>
    <mergeCell ref="CE66:CG66"/>
    <mergeCell ref="CI66:CL66"/>
    <mergeCell ref="CM66:CP66"/>
    <mergeCell ref="CC63:CD63"/>
    <mergeCell ref="CE63:CG63"/>
    <mergeCell ref="CI63:CL63"/>
    <mergeCell ref="CM63:CN63"/>
    <mergeCell ref="CP63:CR63"/>
    <mergeCell ref="CC64:CD64"/>
    <mergeCell ref="CE64:CG64"/>
    <mergeCell ref="CI64:CL64"/>
    <mergeCell ref="CM64:CN64"/>
    <mergeCell ref="CP64:CQ64"/>
    <mergeCell ref="CC62:CD62"/>
    <mergeCell ref="CE62:CG62"/>
    <mergeCell ref="CI62:CL62"/>
    <mergeCell ref="CM62:CR62"/>
    <mergeCell ref="CC59:CG59"/>
    <mergeCell ref="CH59:CL59"/>
    <mergeCell ref="CM59:CR59"/>
    <mergeCell ref="CC60:CG60"/>
    <mergeCell ref="CH60:CL60"/>
    <mergeCell ref="CM60:CR60"/>
    <mergeCell ref="CH51:CR54"/>
    <mergeCell ref="CC53:CE53"/>
    <mergeCell ref="CF53:CG53"/>
    <mergeCell ref="CC54:CE54"/>
    <mergeCell ref="CF54:CG54"/>
    <mergeCell ref="CC58:CG58"/>
    <mergeCell ref="CH58:CL58"/>
    <mergeCell ref="CM58:CR58"/>
    <mergeCell ref="CC48:CE48"/>
    <mergeCell ref="CF48:CG48"/>
    <mergeCell ref="CM48:CR48"/>
    <mergeCell ref="CC49:CE49"/>
    <mergeCell ref="CF49:CG49"/>
    <mergeCell ref="CM49:CR49"/>
    <mergeCell ref="CH49:CL49"/>
    <mergeCell ref="CJ48:CL48"/>
    <mergeCell ref="CC45:CE45"/>
    <mergeCell ref="CF45:CG45"/>
    <mergeCell ref="CH45:CK45"/>
    <mergeCell ref="CM45:CR45"/>
    <mergeCell ref="CC46:CE46"/>
    <mergeCell ref="CF46:CG46"/>
    <mergeCell ref="CM46:CR46"/>
    <mergeCell ref="CC47:CE47"/>
    <mergeCell ref="CF47:CG47"/>
    <mergeCell ref="CM47:CR47"/>
    <mergeCell ref="CJ46:CL46"/>
    <mergeCell ref="CJ47:CL47"/>
    <mergeCell ref="CC43:CE43"/>
    <mergeCell ref="CF43:CG43"/>
    <mergeCell ref="CH43:CK43"/>
    <mergeCell ref="CM43:CP43"/>
    <mergeCell ref="CQ43:CR43"/>
    <mergeCell ref="CC44:CE44"/>
    <mergeCell ref="CF44:CG44"/>
    <mergeCell ref="CH44:CK44"/>
    <mergeCell ref="CM44:CR44"/>
    <mergeCell ref="CC41:CE41"/>
    <mergeCell ref="CF41:CG41"/>
    <mergeCell ref="CH41:CK41"/>
    <mergeCell ref="CM41:CP41"/>
    <mergeCell ref="CQ41:CR41"/>
    <mergeCell ref="CC42:CE42"/>
    <mergeCell ref="CF42:CG42"/>
    <mergeCell ref="CH42:CK42"/>
    <mergeCell ref="CM42:CP42"/>
    <mergeCell ref="CQ42:CR42"/>
    <mergeCell ref="CC39:CE39"/>
    <mergeCell ref="CF39:CG39"/>
    <mergeCell ref="CM39:CP39"/>
    <mergeCell ref="CQ39:CR39"/>
    <mergeCell ref="CC40:CE40"/>
    <mergeCell ref="CF40:CG40"/>
    <mergeCell ref="CH40:CK40"/>
    <mergeCell ref="CM40:CP40"/>
    <mergeCell ref="CQ40:CR40"/>
    <mergeCell ref="CC37:CE37"/>
    <mergeCell ref="CF37:CG37"/>
    <mergeCell ref="CM37:CP37"/>
    <mergeCell ref="CQ37:CR37"/>
    <mergeCell ref="CC38:CE38"/>
    <mergeCell ref="CF38:CG38"/>
    <mergeCell ref="CM38:CP38"/>
    <mergeCell ref="CQ38:CR38"/>
    <mergeCell ref="CC35:CE35"/>
    <mergeCell ref="CF35:CG35"/>
    <mergeCell ref="CM35:CO35"/>
    <mergeCell ref="CP35:CR35"/>
    <mergeCell ref="CC36:CE36"/>
    <mergeCell ref="CF36:CG36"/>
    <mergeCell ref="CM36:CP36"/>
    <mergeCell ref="CQ36:CR36"/>
    <mergeCell ref="CC33:CE33"/>
    <mergeCell ref="CF33:CG33"/>
    <mergeCell ref="CH33:CJ33"/>
    <mergeCell ref="CK33:CL33"/>
    <mergeCell ref="CM33:CP33"/>
    <mergeCell ref="CQ33:CR33"/>
    <mergeCell ref="CC34:CE34"/>
    <mergeCell ref="CF34:CG34"/>
    <mergeCell ref="CH34:CJ34"/>
    <mergeCell ref="CK34:CL34"/>
    <mergeCell ref="CM34:CP34"/>
    <mergeCell ref="CQ34:CR34"/>
    <mergeCell ref="CC31:CE31"/>
    <mergeCell ref="CF31:CG31"/>
    <mergeCell ref="CH31:CJ31"/>
    <mergeCell ref="CK31:CL31"/>
    <mergeCell ref="CM31:CP31"/>
    <mergeCell ref="CQ31:CR31"/>
    <mergeCell ref="CC32:CE32"/>
    <mergeCell ref="CF32:CG32"/>
    <mergeCell ref="CH32:CJ32"/>
    <mergeCell ref="CK32:CL32"/>
    <mergeCell ref="CM32:CP32"/>
    <mergeCell ref="CQ32:CR32"/>
    <mergeCell ref="CC29:CE29"/>
    <mergeCell ref="CF29:CG29"/>
    <mergeCell ref="CH29:CJ29"/>
    <mergeCell ref="CK29:CL29"/>
    <mergeCell ref="CM29:CP29"/>
    <mergeCell ref="CQ29:CR29"/>
    <mergeCell ref="CC30:CE30"/>
    <mergeCell ref="CF30:CG30"/>
    <mergeCell ref="CH30:CJ30"/>
    <mergeCell ref="CK30:CL30"/>
    <mergeCell ref="CM30:CP30"/>
    <mergeCell ref="CQ30:CR30"/>
    <mergeCell ref="CC27:CE27"/>
    <mergeCell ref="CF27:CG27"/>
    <mergeCell ref="CH27:CJ27"/>
    <mergeCell ref="CK27:CL27"/>
    <mergeCell ref="CM27:CP27"/>
    <mergeCell ref="CQ27:CR27"/>
    <mergeCell ref="CC28:CE28"/>
    <mergeCell ref="CF28:CG28"/>
    <mergeCell ref="CH28:CJ28"/>
    <mergeCell ref="CK28:CL28"/>
    <mergeCell ref="CM28:CP28"/>
    <mergeCell ref="CQ28:CR28"/>
    <mergeCell ref="CC25:CE25"/>
    <mergeCell ref="CF25:CG25"/>
    <mergeCell ref="CH25:CJ25"/>
    <mergeCell ref="CK25:CL25"/>
    <mergeCell ref="CM25:CP25"/>
    <mergeCell ref="CQ25:CR25"/>
    <mergeCell ref="CC26:CE26"/>
    <mergeCell ref="CF26:CG26"/>
    <mergeCell ref="CH26:CJ26"/>
    <mergeCell ref="CK26:CL26"/>
    <mergeCell ref="CM26:CO26"/>
    <mergeCell ref="CP26:CR26"/>
    <mergeCell ref="CC23:CE23"/>
    <mergeCell ref="CF23:CG23"/>
    <mergeCell ref="CH23:CJ23"/>
    <mergeCell ref="CK23:CL23"/>
    <mergeCell ref="CM23:CP23"/>
    <mergeCell ref="CQ23:CR23"/>
    <mergeCell ref="CC24:CE24"/>
    <mergeCell ref="CF24:CG24"/>
    <mergeCell ref="CH24:CJ24"/>
    <mergeCell ref="CK24:CL24"/>
    <mergeCell ref="CM24:CP24"/>
    <mergeCell ref="CQ24:CR24"/>
    <mergeCell ref="CC21:CE21"/>
    <mergeCell ref="CF21:CG21"/>
    <mergeCell ref="CH21:CJ21"/>
    <mergeCell ref="CK21:CL21"/>
    <mergeCell ref="CM21:CP21"/>
    <mergeCell ref="CQ21:CR21"/>
    <mergeCell ref="CH22:CJ22"/>
    <mergeCell ref="CK22:CL22"/>
    <mergeCell ref="CM22:CP22"/>
    <mergeCell ref="CQ22:CR22"/>
    <mergeCell ref="CE13:CF13"/>
    <mergeCell ref="CH13:CI13"/>
    <mergeCell ref="CJ13:CK13"/>
    <mergeCell ref="CM13:CN13"/>
    <mergeCell ref="CO13:CQ13"/>
    <mergeCell ref="CC19:CE19"/>
    <mergeCell ref="CF19:CG19"/>
    <mergeCell ref="CH19:CJ19"/>
    <mergeCell ref="CK19:CL19"/>
    <mergeCell ref="CM19:CP19"/>
    <mergeCell ref="CQ19:CR19"/>
    <mergeCell ref="CC20:CE20"/>
    <mergeCell ref="CF20:CG20"/>
    <mergeCell ref="CH20:CJ20"/>
    <mergeCell ref="CK20:CL20"/>
    <mergeCell ref="CM20:CP20"/>
    <mergeCell ref="CQ20:CR20"/>
    <mergeCell ref="CH17:CL17"/>
    <mergeCell ref="CM17:CO17"/>
    <mergeCell ref="CP17:CR17"/>
    <mergeCell ref="CC18:CE18"/>
    <mergeCell ref="CF18:CG18"/>
    <mergeCell ref="CH18:CJ18"/>
    <mergeCell ref="CK18:CL18"/>
    <mergeCell ref="CM18:CP18"/>
    <mergeCell ref="CQ18:CR18"/>
    <mergeCell ref="CC6:CJ6"/>
    <mergeCell ref="CK6:CN6"/>
    <mergeCell ref="CO6:CQ6"/>
    <mergeCell ref="CC7:CJ7"/>
    <mergeCell ref="CK7:CN7"/>
    <mergeCell ref="CO7:CP7"/>
    <mergeCell ref="CQ7:CR7"/>
    <mergeCell ref="L70:M70"/>
    <mergeCell ref="P14:S15"/>
    <mergeCell ref="P19:Q19"/>
    <mergeCell ref="P20:Q20"/>
    <mergeCell ref="P21:Q21"/>
    <mergeCell ref="CC14:CD14"/>
    <mergeCell ref="CE14:CF14"/>
    <mergeCell ref="CH14:CI14"/>
    <mergeCell ref="CJ14:CK14"/>
    <mergeCell ref="CM14:CN14"/>
    <mergeCell ref="CO14:CQ14"/>
    <mergeCell ref="CC15:CD15"/>
    <mergeCell ref="CE15:CF15"/>
    <mergeCell ref="CH15:CI15"/>
    <mergeCell ref="CJ15:CK15"/>
    <mergeCell ref="CM15:CN15"/>
    <mergeCell ref="CO15:CQ15"/>
    <mergeCell ref="CC8:CJ8"/>
    <mergeCell ref="CK8:CN8"/>
    <mergeCell ref="CC9:CI9"/>
    <mergeCell ref="CJ9:CR9"/>
    <mergeCell ref="CD11:CG11"/>
    <mergeCell ref="CH11:CL11"/>
    <mergeCell ref="CM11:CR11"/>
    <mergeCell ref="CC13:CD13"/>
    <mergeCell ref="B203:C203"/>
    <mergeCell ref="B204:C204"/>
    <mergeCell ref="B200:C200"/>
    <mergeCell ref="T172:U172"/>
    <mergeCell ref="T173:U173"/>
    <mergeCell ref="T174:U174"/>
    <mergeCell ref="L175:O175"/>
    <mergeCell ref="P175:S175"/>
    <mergeCell ref="T175:U175"/>
    <mergeCell ref="L177:M178"/>
    <mergeCell ref="L179:T179"/>
    <mergeCell ref="B172:F172"/>
    <mergeCell ref="H172:I172"/>
    <mergeCell ref="B173:F173"/>
    <mergeCell ref="H173:I173"/>
    <mergeCell ref="B174:F174"/>
    <mergeCell ref="H174:I174"/>
    <mergeCell ref="B175:F175"/>
    <mergeCell ref="P174:S174"/>
    <mergeCell ref="D190:E191"/>
    <mergeCell ref="G191:H191"/>
    <mergeCell ref="H175:I175"/>
    <mergeCell ref="B176:F176"/>
    <mergeCell ref="H176:I176"/>
    <mergeCell ref="L173:O173"/>
    <mergeCell ref="P173:S173"/>
    <mergeCell ref="L174:O174"/>
    <mergeCell ref="L197:T197"/>
    <mergeCell ref="L198:T198"/>
    <mergeCell ref="L165:Q165"/>
    <mergeCell ref="R162:W162"/>
    <mergeCell ref="R163:W163"/>
    <mergeCell ref="R164:W164"/>
    <mergeCell ref="R165:W165"/>
    <mergeCell ref="B201:C201"/>
    <mergeCell ref="B202:C202"/>
    <mergeCell ref="D192:E192"/>
    <mergeCell ref="B194:C194"/>
    <mergeCell ref="B195:C195"/>
    <mergeCell ref="F195:I195"/>
    <mergeCell ref="B196:C196"/>
    <mergeCell ref="B197:C197"/>
    <mergeCell ref="B198:C198"/>
    <mergeCell ref="B199:C199"/>
    <mergeCell ref="B179:C180"/>
    <mergeCell ref="B181:C181"/>
    <mergeCell ref="B182:C182"/>
    <mergeCell ref="B183:C183"/>
    <mergeCell ref="B184:C184"/>
    <mergeCell ref="B185:C185"/>
    <mergeCell ref="B186:C186"/>
    <mergeCell ref="G188:H188"/>
    <mergeCell ref="L154:O154"/>
    <mergeCell ref="P154:Q154"/>
    <mergeCell ref="R154:V154"/>
    <mergeCell ref="W154:X154"/>
    <mergeCell ref="L155:O155"/>
    <mergeCell ref="P155:Q155"/>
    <mergeCell ref="R155:V155"/>
    <mergeCell ref="W155:X155"/>
    <mergeCell ref="L156:O156"/>
    <mergeCell ref="P156:Q156"/>
    <mergeCell ref="R156:V156"/>
    <mergeCell ref="W156:X156"/>
    <mergeCell ref="L151:O151"/>
    <mergeCell ref="P151:Q151"/>
    <mergeCell ref="R151:V151"/>
    <mergeCell ref="W151:X151"/>
    <mergeCell ref="L152:O152"/>
    <mergeCell ref="P152:Q152"/>
    <mergeCell ref="R152:V152"/>
    <mergeCell ref="W152:X152"/>
    <mergeCell ref="L153:O153"/>
    <mergeCell ref="P153:Q153"/>
    <mergeCell ref="R153:V153"/>
    <mergeCell ref="W153:X153"/>
    <mergeCell ref="L148:O148"/>
    <mergeCell ref="P148:Q148"/>
    <mergeCell ref="R148:V148"/>
    <mergeCell ref="W148:X148"/>
    <mergeCell ref="L149:O149"/>
    <mergeCell ref="P149:Q149"/>
    <mergeCell ref="R149:V149"/>
    <mergeCell ref="W149:X149"/>
    <mergeCell ref="L150:O150"/>
    <mergeCell ref="P150:Q150"/>
    <mergeCell ref="R150:V150"/>
    <mergeCell ref="W150:X150"/>
    <mergeCell ref="L144:O144"/>
    <mergeCell ref="R144:U144"/>
    <mergeCell ref="W144:X144"/>
    <mergeCell ref="L146:O146"/>
    <mergeCell ref="P146:Q146"/>
    <mergeCell ref="R146:V146"/>
    <mergeCell ref="W146:X146"/>
    <mergeCell ref="L147:O147"/>
    <mergeCell ref="P147:Q147"/>
    <mergeCell ref="R147:V147"/>
    <mergeCell ref="W147:X147"/>
    <mergeCell ref="L141:O141"/>
    <mergeCell ref="R141:U141"/>
    <mergeCell ref="W141:X141"/>
    <mergeCell ref="L142:O142"/>
    <mergeCell ref="R142:U142"/>
    <mergeCell ref="W142:X142"/>
    <mergeCell ref="L143:O143"/>
    <mergeCell ref="R143:U143"/>
    <mergeCell ref="W143:X143"/>
    <mergeCell ref="L136:P137"/>
    <mergeCell ref="R138:U138"/>
    <mergeCell ref="W138:X138"/>
    <mergeCell ref="L139:O139"/>
    <mergeCell ref="R139:U139"/>
    <mergeCell ref="W139:X139"/>
    <mergeCell ref="L140:O140"/>
    <mergeCell ref="R140:U140"/>
    <mergeCell ref="W140:X140"/>
    <mergeCell ref="B128:D129"/>
    <mergeCell ref="B171:F171"/>
    <mergeCell ref="H171:I171"/>
    <mergeCell ref="B163:F163"/>
    <mergeCell ref="H163:I163"/>
    <mergeCell ref="B164:F164"/>
    <mergeCell ref="H164:I164"/>
    <mergeCell ref="B165:F165"/>
    <mergeCell ref="H165:I165"/>
    <mergeCell ref="B166:F166"/>
    <mergeCell ref="H166:I166"/>
    <mergeCell ref="B167:F167"/>
    <mergeCell ref="H167:I167"/>
    <mergeCell ref="B158:F158"/>
    <mergeCell ref="H158:I158"/>
    <mergeCell ref="B159:F159"/>
    <mergeCell ref="H159:I159"/>
    <mergeCell ref="B160:F160"/>
    <mergeCell ref="H160:I160"/>
    <mergeCell ref="B161:F161"/>
    <mergeCell ref="H161:I161"/>
    <mergeCell ref="B162:F162"/>
    <mergeCell ref="H162:I162"/>
    <mergeCell ref="B153:F153"/>
    <mergeCell ref="H153:I153"/>
    <mergeCell ref="B154:F154"/>
    <mergeCell ref="H154:I154"/>
    <mergeCell ref="B155:F155"/>
    <mergeCell ref="H155:I155"/>
    <mergeCell ref="B156:F156"/>
    <mergeCell ref="H156:I156"/>
    <mergeCell ref="B157:F157"/>
    <mergeCell ref="H157:I157"/>
    <mergeCell ref="B148:F148"/>
    <mergeCell ref="H148:I148"/>
    <mergeCell ref="B149:F149"/>
    <mergeCell ref="H149:I149"/>
    <mergeCell ref="B150:F150"/>
    <mergeCell ref="H150:I150"/>
    <mergeCell ref="B151:F151"/>
    <mergeCell ref="H151:I151"/>
    <mergeCell ref="B152:F152"/>
    <mergeCell ref="H152:I152"/>
    <mergeCell ref="B143:F143"/>
    <mergeCell ref="H143:I143"/>
    <mergeCell ref="B144:F144"/>
    <mergeCell ref="H144:I144"/>
    <mergeCell ref="B145:F145"/>
    <mergeCell ref="H145:I145"/>
    <mergeCell ref="B146:F146"/>
    <mergeCell ref="H146:I146"/>
    <mergeCell ref="B147:F147"/>
    <mergeCell ref="H147:I147"/>
    <mergeCell ref="B138:F138"/>
    <mergeCell ref="H138:I138"/>
    <mergeCell ref="B139:F139"/>
    <mergeCell ref="H139:I139"/>
    <mergeCell ref="B140:F140"/>
    <mergeCell ref="H140:I140"/>
    <mergeCell ref="B141:F141"/>
    <mergeCell ref="H141:I141"/>
    <mergeCell ref="B142:F142"/>
    <mergeCell ref="H142:I142"/>
    <mergeCell ref="B133:F133"/>
    <mergeCell ref="H133:I133"/>
    <mergeCell ref="B134:F134"/>
    <mergeCell ref="H134:I134"/>
    <mergeCell ref="B135:F135"/>
    <mergeCell ref="H135:I135"/>
    <mergeCell ref="B136:F136"/>
    <mergeCell ref="H136:I136"/>
    <mergeCell ref="B137:F137"/>
    <mergeCell ref="H137:I137"/>
    <mergeCell ref="B130:F130"/>
    <mergeCell ref="H130:I130"/>
    <mergeCell ref="B131:F131"/>
    <mergeCell ref="H131:I131"/>
    <mergeCell ref="B132:F132"/>
    <mergeCell ref="H132:I132"/>
    <mergeCell ref="L85:P86"/>
    <mergeCell ref="F18:G18"/>
    <mergeCell ref="F19:G19"/>
    <mergeCell ref="B77:C77"/>
    <mergeCell ref="B78:C78"/>
    <mergeCell ref="B79:C79"/>
    <mergeCell ref="B80:C80"/>
    <mergeCell ref="B81:C81"/>
    <mergeCell ref="B82:C82"/>
    <mergeCell ref="B83:C83"/>
    <mergeCell ref="B84:C84"/>
    <mergeCell ref="N81:O81"/>
    <mergeCell ref="N82:O82"/>
    <mergeCell ref="N83:O83"/>
    <mergeCell ref="C18:E18"/>
    <mergeCell ref="C19:E19"/>
    <mergeCell ref="B34:C34"/>
    <mergeCell ref="B35:C35"/>
    <mergeCell ref="L88:M88"/>
    <mergeCell ref="N88:Q88"/>
    <mergeCell ref="L107:M107"/>
    <mergeCell ref="N107:Q107"/>
    <mergeCell ref="L111:M111"/>
    <mergeCell ref="N111:Q111"/>
    <mergeCell ref="L118:M118"/>
    <mergeCell ref="N118:Q118"/>
    <mergeCell ref="B2:U3"/>
    <mergeCell ref="D4:G4"/>
    <mergeCell ref="D5:G5"/>
    <mergeCell ref="D6:G6"/>
    <mergeCell ref="B4:C4"/>
    <mergeCell ref="B5:C5"/>
    <mergeCell ref="B6:C6"/>
    <mergeCell ref="H4:J4"/>
    <mergeCell ref="H5:J5"/>
    <mergeCell ref="H6:J6"/>
    <mergeCell ref="R4:U4"/>
    <mergeCell ref="R5:U5"/>
    <mergeCell ref="R6:U6"/>
    <mergeCell ref="B8:I9"/>
    <mergeCell ref="C10:G10"/>
    <mergeCell ref="C11:G11"/>
    <mergeCell ref="T11:U11"/>
    <mergeCell ref="K4:N4"/>
    <mergeCell ref="K5:N5"/>
    <mergeCell ref="K6:N6"/>
    <mergeCell ref="O4:Q4"/>
    <mergeCell ref="O5:Q5"/>
    <mergeCell ref="O6:Q6"/>
    <mergeCell ref="K10:L10"/>
    <mergeCell ref="K11:L11"/>
    <mergeCell ref="H17:J19"/>
    <mergeCell ref="H14:J16"/>
    <mergeCell ref="C12:G12"/>
    <mergeCell ref="C13:G13"/>
    <mergeCell ref="C14:D14"/>
    <mergeCell ref="C15:D15"/>
    <mergeCell ref="C16:E16"/>
    <mergeCell ref="C17:E17"/>
    <mergeCell ref="B36:C36"/>
    <mergeCell ref="B21:D22"/>
    <mergeCell ref="E22:G22"/>
    <mergeCell ref="H23:I23"/>
    <mergeCell ref="B24:C24"/>
    <mergeCell ref="B25:C25"/>
    <mergeCell ref="B26:C26"/>
    <mergeCell ref="B29:C29"/>
    <mergeCell ref="B30:C30"/>
    <mergeCell ref="B31:C31"/>
    <mergeCell ref="F17:G17"/>
    <mergeCell ref="P12:Q12"/>
    <mergeCell ref="T12:U12"/>
    <mergeCell ref="P13:Q13"/>
    <mergeCell ref="T13:U13"/>
    <mergeCell ref="T14:U14"/>
    <mergeCell ref="T15:U15"/>
    <mergeCell ref="AF10:AF12"/>
    <mergeCell ref="P8:S9"/>
    <mergeCell ref="T10:U10"/>
    <mergeCell ref="P11:Q11"/>
    <mergeCell ref="X25:Y26"/>
    <mergeCell ref="L26:M26"/>
    <mergeCell ref="Q26:R26"/>
    <mergeCell ref="S26:V26"/>
    <mergeCell ref="T16:U16"/>
    <mergeCell ref="P17:Q17"/>
    <mergeCell ref="T17:U17"/>
    <mergeCell ref="P18:Q18"/>
    <mergeCell ref="T18:U18"/>
    <mergeCell ref="T19:U19"/>
    <mergeCell ref="K16:N16"/>
    <mergeCell ref="K19:L19"/>
    <mergeCell ref="M19:N19"/>
    <mergeCell ref="K17:L17"/>
    <mergeCell ref="K18:L18"/>
    <mergeCell ref="M18:N18"/>
    <mergeCell ref="M17:N17"/>
    <mergeCell ref="P16:Q16"/>
    <mergeCell ref="K12:L12"/>
    <mergeCell ref="K13:L13"/>
    <mergeCell ref="S27:V27"/>
    <mergeCell ref="L28:M28"/>
    <mergeCell ref="S28:V28"/>
    <mergeCell ref="L29:M29"/>
    <mergeCell ref="S29:V29"/>
    <mergeCell ref="T20:U20"/>
    <mergeCell ref="T21:U21"/>
    <mergeCell ref="T22:U22"/>
    <mergeCell ref="L24:O25"/>
    <mergeCell ref="P25:R25"/>
    <mergeCell ref="L27:M27"/>
    <mergeCell ref="S33:V33"/>
    <mergeCell ref="L34:M34"/>
    <mergeCell ref="S34:V34"/>
    <mergeCell ref="P35:R35"/>
    <mergeCell ref="S35:V35"/>
    <mergeCell ref="L30:M30"/>
    <mergeCell ref="S30:V30"/>
    <mergeCell ref="L31:M31"/>
    <mergeCell ref="S31:V31"/>
    <mergeCell ref="L32:M32"/>
    <mergeCell ref="S32:V32"/>
    <mergeCell ref="L33:M33"/>
    <mergeCell ref="L41:M41"/>
    <mergeCell ref="S41:V41"/>
    <mergeCell ref="L36:M36"/>
    <mergeCell ref="Q36:R36"/>
    <mergeCell ref="L37:M37"/>
    <mergeCell ref="S37:V37"/>
    <mergeCell ref="L38:M38"/>
    <mergeCell ref="S38:V38"/>
    <mergeCell ref="Q46:R46"/>
    <mergeCell ref="L47:M47"/>
    <mergeCell ref="S47:V47"/>
    <mergeCell ref="L42:M42"/>
    <mergeCell ref="S42:V42"/>
    <mergeCell ref="L43:M43"/>
    <mergeCell ref="S43:V43"/>
    <mergeCell ref="L44:M44"/>
    <mergeCell ref="S44:V44"/>
    <mergeCell ref="P45:R45"/>
    <mergeCell ref="S51:V51"/>
    <mergeCell ref="S52:V52"/>
    <mergeCell ref="S48:V48"/>
    <mergeCell ref="S49:V49"/>
    <mergeCell ref="S50:V50"/>
    <mergeCell ref="B56:C56"/>
    <mergeCell ref="B57:C57"/>
    <mergeCell ref="B39:C40"/>
    <mergeCell ref="E39:G39"/>
    <mergeCell ref="H40:I40"/>
    <mergeCell ref="B41:C41"/>
    <mergeCell ref="B42:C42"/>
    <mergeCell ref="B43:C43"/>
    <mergeCell ref="L51:M51"/>
    <mergeCell ref="L52:M52"/>
    <mergeCell ref="L48:M48"/>
    <mergeCell ref="L49:M49"/>
    <mergeCell ref="L50:M50"/>
    <mergeCell ref="L39:M39"/>
    <mergeCell ref="B44:C44"/>
    <mergeCell ref="B45:C45"/>
    <mergeCell ref="L54:M54"/>
    <mergeCell ref="S45:V45"/>
    <mergeCell ref="L46:M46"/>
    <mergeCell ref="S54:V54"/>
    <mergeCell ref="P55:R55"/>
    <mergeCell ref="S55:V55"/>
    <mergeCell ref="L53:M53"/>
    <mergeCell ref="S53:V53"/>
    <mergeCell ref="S39:V39"/>
    <mergeCell ref="L40:M40"/>
    <mergeCell ref="S40:V40"/>
    <mergeCell ref="S59:T59"/>
    <mergeCell ref="L60:M60"/>
    <mergeCell ref="L61:M61"/>
    <mergeCell ref="L62:M62"/>
    <mergeCell ref="L87:M87"/>
    <mergeCell ref="N87:Q87"/>
    <mergeCell ref="R87:U87"/>
    <mergeCell ref="B93:H95"/>
    <mergeCell ref="N89:Q89"/>
    <mergeCell ref="U57:X58"/>
    <mergeCell ref="U75:X75"/>
    <mergeCell ref="L77:O78"/>
    <mergeCell ref="N80:O80"/>
    <mergeCell ref="L63:M63"/>
    <mergeCell ref="L64:M64"/>
    <mergeCell ref="L65:M65"/>
    <mergeCell ref="L66:M66"/>
    <mergeCell ref="L67:M67"/>
    <mergeCell ref="L71:M71"/>
    <mergeCell ref="B85:C85"/>
    <mergeCell ref="B86:C86"/>
    <mergeCell ref="B87:C87"/>
    <mergeCell ref="B88:C88"/>
    <mergeCell ref="B89:C89"/>
    <mergeCell ref="B90:C90"/>
    <mergeCell ref="Q77:R78"/>
    <mergeCell ref="B76:C76"/>
    <mergeCell ref="R89:U89"/>
    <mergeCell ref="L90:M90"/>
    <mergeCell ref="N90:Q90"/>
    <mergeCell ref="R90:U90"/>
    <mergeCell ref="B74:C74"/>
    <mergeCell ref="R102:U102"/>
    <mergeCell ref="L97:M97"/>
    <mergeCell ref="N97:Q97"/>
    <mergeCell ref="R97:U97"/>
    <mergeCell ref="L98:M98"/>
    <mergeCell ref="N98:Q98"/>
    <mergeCell ref="R98:U98"/>
    <mergeCell ref="L99:M99"/>
    <mergeCell ref="N99:Q99"/>
    <mergeCell ref="R99:U99"/>
    <mergeCell ref="R106:U106"/>
    <mergeCell ref="R88:U88"/>
    <mergeCell ref="L89:M89"/>
    <mergeCell ref="F91:I91"/>
    <mergeCell ref="R94:U94"/>
    <mergeCell ref="L95:M95"/>
    <mergeCell ref="N95:Q95"/>
    <mergeCell ref="R95:U95"/>
    <mergeCell ref="L96:M96"/>
    <mergeCell ref="N96:Q96"/>
    <mergeCell ref="R96:U96"/>
    <mergeCell ref="L91:M91"/>
    <mergeCell ref="N91:Q91"/>
    <mergeCell ref="R91:U91"/>
    <mergeCell ref="L92:M92"/>
    <mergeCell ref="N92:Q92"/>
    <mergeCell ref="R92:U92"/>
    <mergeCell ref="L93:M93"/>
    <mergeCell ref="N93:Q93"/>
    <mergeCell ref="R93:U93"/>
    <mergeCell ref="L115:M115"/>
    <mergeCell ref="N115:Q115"/>
    <mergeCell ref="R115:U115"/>
    <mergeCell ref="L116:M116"/>
    <mergeCell ref="N116:Q116"/>
    <mergeCell ref="R116:U116"/>
    <mergeCell ref="L117:M117"/>
    <mergeCell ref="N117:Q117"/>
    <mergeCell ref="R117:U117"/>
    <mergeCell ref="L108:M108"/>
    <mergeCell ref="N108:Q108"/>
    <mergeCell ref="R108:U108"/>
    <mergeCell ref="L103:M103"/>
    <mergeCell ref="N103:Q103"/>
    <mergeCell ref="R103:U103"/>
    <mergeCell ref="L104:M104"/>
    <mergeCell ref="N104:Q104"/>
    <mergeCell ref="R104:U104"/>
    <mergeCell ref="L105:M105"/>
    <mergeCell ref="N105:Q105"/>
    <mergeCell ref="R105:U105"/>
    <mergeCell ref="L109:M109"/>
    <mergeCell ref="N109:Q109"/>
    <mergeCell ref="R109:U109"/>
    <mergeCell ref="L110:M110"/>
    <mergeCell ref="N110:Q110"/>
    <mergeCell ref="R110:U110"/>
    <mergeCell ref="L106:M106"/>
    <mergeCell ref="N106:Q106"/>
    <mergeCell ref="R118:U118"/>
    <mergeCell ref="L119:M119"/>
    <mergeCell ref="N119:Q119"/>
    <mergeCell ref="R119:U119"/>
    <mergeCell ref="L120:M120"/>
    <mergeCell ref="N120:Q120"/>
    <mergeCell ref="R120:U120"/>
    <mergeCell ref="L121:M121"/>
    <mergeCell ref="N121:Q121"/>
    <mergeCell ref="R121:U121"/>
    <mergeCell ref="L122:M122"/>
    <mergeCell ref="N122:Q122"/>
    <mergeCell ref="R122:U122"/>
    <mergeCell ref="L123:M123"/>
    <mergeCell ref="N123:Q123"/>
    <mergeCell ref="R123:U123"/>
    <mergeCell ref="L124:M124"/>
    <mergeCell ref="N124:Q124"/>
    <mergeCell ref="R124:U124"/>
    <mergeCell ref="L125:M125"/>
    <mergeCell ref="N125:Q125"/>
    <mergeCell ref="R125:U125"/>
    <mergeCell ref="L126:M126"/>
    <mergeCell ref="N126:Q126"/>
    <mergeCell ref="R126:U126"/>
    <mergeCell ref="L127:M127"/>
    <mergeCell ref="N127:Q127"/>
    <mergeCell ref="R127:U127"/>
    <mergeCell ref="L128:M128"/>
    <mergeCell ref="N128:Q128"/>
    <mergeCell ref="R128:U128"/>
    <mergeCell ref="L132:M132"/>
    <mergeCell ref="N132:Q132"/>
    <mergeCell ref="R132:U132"/>
    <mergeCell ref="L133:M133"/>
    <mergeCell ref="N133:Q133"/>
    <mergeCell ref="R133:U133"/>
    <mergeCell ref="S134:W134"/>
    <mergeCell ref="L129:M129"/>
    <mergeCell ref="N129:Q129"/>
    <mergeCell ref="R129:U129"/>
    <mergeCell ref="L130:M130"/>
    <mergeCell ref="N130:Q130"/>
    <mergeCell ref="R130:U130"/>
    <mergeCell ref="L131:M131"/>
    <mergeCell ref="N131:Q131"/>
    <mergeCell ref="R131:U131"/>
    <mergeCell ref="B96:C96"/>
    <mergeCell ref="G96:H96"/>
    <mergeCell ref="B97:H97"/>
    <mergeCell ref="B46:C46"/>
    <mergeCell ref="B47:C47"/>
    <mergeCell ref="B48:C48"/>
    <mergeCell ref="B49:C49"/>
    <mergeCell ref="B50:C50"/>
    <mergeCell ref="B51:C51"/>
    <mergeCell ref="B52:C52"/>
    <mergeCell ref="B53:C53"/>
    <mergeCell ref="B54:C54"/>
    <mergeCell ref="B55:C55"/>
    <mergeCell ref="B65:C65"/>
    <mergeCell ref="B66:C66"/>
    <mergeCell ref="B67:C67"/>
    <mergeCell ref="B68:C68"/>
    <mergeCell ref="B69:C69"/>
    <mergeCell ref="B70:C70"/>
    <mergeCell ref="B71:C71"/>
    <mergeCell ref="B72:C72"/>
    <mergeCell ref="B73:C73"/>
    <mergeCell ref="B75:C75"/>
    <mergeCell ref="G103:H103"/>
    <mergeCell ref="B104:C104"/>
    <mergeCell ref="G104:H104"/>
    <mergeCell ref="B105:C105"/>
    <mergeCell ref="G105:H105"/>
    <mergeCell ref="L57:N58"/>
    <mergeCell ref="L59:M59"/>
    <mergeCell ref="L68:M68"/>
    <mergeCell ref="L69:M69"/>
    <mergeCell ref="L72:M72"/>
    <mergeCell ref="L73:M73"/>
    <mergeCell ref="B98:C98"/>
    <mergeCell ref="G98:H98"/>
    <mergeCell ref="B99:C99"/>
    <mergeCell ref="G99:H99"/>
    <mergeCell ref="L94:M94"/>
    <mergeCell ref="N94:Q94"/>
    <mergeCell ref="B58:C58"/>
    <mergeCell ref="B59:C59"/>
    <mergeCell ref="B60:C60"/>
    <mergeCell ref="B61:C61"/>
    <mergeCell ref="B62:C62"/>
    <mergeCell ref="B63:C63"/>
    <mergeCell ref="B64:C64"/>
    <mergeCell ref="B100:C100"/>
    <mergeCell ref="G100:H100"/>
    <mergeCell ref="L100:M100"/>
    <mergeCell ref="N100:Q100"/>
    <mergeCell ref="L74:M74"/>
    <mergeCell ref="L101:M101"/>
    <mergeCell ref="N102:Q102"/>
    <mergeCell ref="B125:C125"/>
    <mergeCell ref="G125:H125"/>
    <mergeCell ref="B116:C116"/>
    <mergeCell ref="G116:H116"/>
    <mergeCell ref="B117:H117"/>
    <mergeCell ref="B118:C118"/>
    <mergeCell ref="G118:H118"/>
    <mergeCell ref="B119:C119"/>
    <mergeCell ref="G119:H119"/>
    <mergeCell ref="B120:C120"/>
    <mergeCell ref="G120:H120"/>
    <mergeCell ref="B110:C110"/>
    <mergeCell ref="G110:H110"/>
    <mergeCell ref="B101:C101"/>
    <mergeCell ref="G101:H101"/>
    <mergeCell ref="B102:H102"/>
    <mergeCell ref="B103:C103"/>
    <mergeCell ref="B121:C121"/>
    <mergeCell ref="G121:H121"/>
    <mergeCell ref="B122:H122"/>
    <mergeCell ref="B123:C123"/>
    <mergeCell ref="G123:H123"/>
    <mergeCell ref="B124:C124"/>
    <mergeCell ref="G124:H124"/>
    <mergeCell ref="B111:C111"/>
    <mergeCell ref="G111:H111"/>
    <mergeCell ref="B112:H112"/>
    <mergeCell ref="B113:C113"/>
    <mergeCell ref="G113:H113"/>
    <mergeCell ref="B114:C114"/>
    <mergeCell ref="G114:H114"/>
    <mergeCell ref="B115:C115"/>
    <mergeCell ref="G115:H115"/>
    <mergeCell ref="B106:C106"/>
    <mergeCell ref="G106:H106"/>
    <mergeCell ref="B107:H107"/>
    <mergeCell ref="B108:C108"/>
    <mergeCell ref="G108:H108"/>
    <mergeCell ref="B109:C109"/>
    <mergeCell ref="G109:H109"/>
    <mergeCell ref="U83:W83"/>
    <mergeCell ref="Y83:Z83"/>
    <mergeCell ref="T77:W78"/>
    <mergeCell ref="U79:W79"/>
    <mergeCell ref="Y79:Z79"/>
    <mergeCell ref="U80:W80"/>
    <mergeCell ref="Y80:Z80"/>
    <mergeCell ref="U81:W81"/>
    <mergeCell ref="Y81:Z81"/>
    <mergeCell ref="U82:W82"/>
    <mergeCell ref="Y82:Z82"/>
    <mergeCell ref="R111:U111"/>
    <mergeCell ref="L112:M112"/>
    <mergeCell ref="N112:Q112"/>
    <mergeCell ref="R112:U112"/>
    <mergeCell ref="L113:M113"/>
    <mergeCell ref="N113:Q113"/>
    <mergeCell ref="R113:U113"/>
    <mergeCell ref="L114:M114"/>
    <mergeCell ref="N114:Q114"/>
    <mergeCell ref="R114:U114"/>
    <mergeCell ref="N101:Q101"/>
    <mergeCell ref="R101:U101"/>
    <mergeCell ref="L102:M102"/>
    <mergeCell ref="CC113:CG113"/>
    <mergeCell ref="CH113:CL113"/>
    <mergeCell ref="CM113:CR113"/>
    <mergeCell ref="CC114:CG114"/>
    <mergeCell ref="CH114:CL114"/>
    <mergeCell ref="CM114:CR114"/>
    <mergeCell ref="Z86:AA86"/>
    <mergeCell ref="R107:U107"/>
    <mergeCell ref="R100:U100"/>
    <mergeCell ref="CC79:CD79"/>
    <mergeCell ref="CE79:CG79"/>
    <mergeCell ref="CI79:CL79"/>
    <mergeCell ref="CC80:CD80"/>
    <mergeCell ref="CE80:CG80"/>
    <mergeCell ref="CI80:CL80"/>
    <mergeCell ref="CC81:CD81"/>
    <mergeCell ref="CE81:CG81"/>
    <mergeCell ref="CI81:CL81"/>
    <mergeCell ref="CM79:CP79"/>
    <mergeCell ref="CM80:CP80"/>
    <mergeCell ref="CM81:CP81"/>
    <mergeCell ref="CQ79:CR79"/>
    <mergeCell ref="CQ80:CR80"/>
    <mergeCell ref="CQ81:CR81"/>
    <mergeCell ref="CC86:CD86"/>
    <mergeCell ref="CE86:CG86"/>
    <mergeCell ref="CI86:CL86"/>
    <mergeCell ref="CM86:CR86"/>
    <mergeCell ref="CC87:CD87"/>
    <mergeCell ref="CE87:CG87"/>
    <mergeCell ref="CI87:CL87"/>
    <mergeCell ref="CM87:CR87"/>
    <mergeCell ref="CH170:CL170"/>
    <mergeCell ref="CM170:CR170"/>
    <mergeCell ref="CM172:CR172"/>
    <mergeCell ref="CM173:CP173"/>
    <mergeCell ref="CQ173:CR173"/>
    <mergeCell ref="CM174:CP174"/>
    <mergeCell ref="CQ174:CR174"/>
    <mergeCell ref="CM175:CP175"/>
    <mergeCell ref="CQ175:CR175"/>
    <mergeCell ref="CM176:CP176"/>
    <mergeCell ref="CQ176:CR176"/>
    <mergeCell ref="CM177:CP177"/>
    <mergeCell ref="CQ177:CR177"/>
    <mergeCell ref="CE178:CG178"/>
    <mergeCell ref="CI178:CL178"/>
    <mergeCell ref="CC179:CD179"/>
    <mergeCell ref="CE179:CG179"/>
    <mergeCell ref="CI179:CL179"/>
    <mergeCell ref="CC178:CD178"/>
    <mergeCell ref="CC115:CG115"/>
    <mergeCell ref="CH115:CL115"/>
    <mergeCell ref="CC122:CE122"/>
    <mergeCell ref="CG122:CI122"/>
    <mergeCell ref="CJ122:CM122"/>
    <mergeCell ref="CC128:CE128"/>
    <mergeCell ref="CG128:CI128"/>
    <mergeCell ref="CJ128:CM128"/>
    <mergeCell ref="CC134:CE134"/>
    <mergeCell ref="CG134:CI134"/>
    <mergeCell ref="CJ134:CM134"/>
    <mergeCell ref="CC140:CE140"/>
    <mergeCell ref="CG140:CI140"/>
    <mergeCell ref="CJ140:CM140"/>
    <mergeCell ref="CC146:CE146"/>
    <mergeCell ref="CG146:CI146"/>
    <mergeCell ref="CJ146:CM146"/>
    <mergeCell ref="CM115:CR115"/>
    <mergeCell ref="CC117:CD117"/>
    <mergeCell ref="CE117:CF117"/>
    <mergeCell ref="CH117:CI117"/>
    <mergeCell ref="CJ117:CR117"/>
    <mergeCell ref="CC118:CE118"/>
    <mergeCell ref="CG118:CI118"/>
    <mergeCell ref="CJ118:CM118"/>
    <mergeCell ref="CP118:CR118"/>
    <mergeCell ref="CP122:CR122"/>
    <mergeCell ref="CC123:CE123"/>
    <mergeCell ref="CG123:CI123"/>
    <mergeCell ref="CJ123:CM123"/>
    <mergeCell ref="CP123:CR123"/>
    <mergeCell ref="CC124:CE124"/>
    <mergeCell ref="CC205:CF205"/>
    <mergeCell ref="CG205:CJ205"/>
    <mergeCell ref="CK205:CL205"/>
    <mergeCell ref="CC206:CE206"/>
    <mergeCell ref="CF206:CG206"/>
    <mergeCell ref="CH206:CI206"/>
    <mergeCell ref="CC207:CE207"/>
    <mergeCell ref="CF207:CG207"/>
    <mergeCell ref="CH207:CI207"/>
    <mergeCell ref="CM178:CP178"/>
    <mergeCell ref="CQ178:CR178"/>
    <mergeCell ref="CM179:CP179"/>
    <mergeCell ref="CQ179:CR179"/>
    <mergeCell ref="CM180:CP180"/>
    <mergeCell ref="CQ180:CR180"/>
    <mergeCell ref="CM181:CP181"/>
    <mergeCell ref="CQ181:CR181"/>
    <mergeCell ref="CM182:CP182"/>
    <mergeCell ref="CQ182:CR182"/>
    <mergeCell ref="CM183:CP183"/>
    <mergeCell ref="CQ183:CR183"/>
    <mergeCell ref="CM184:CP184"/>
    <mergeCell ref="CQ184:CR184"/>
    <mergeCell ref="CM185:CP185"/>
    <mergeCell ref="CQ185:CR185"/>
    <mergeCell ref="CC189:CH189"/>
    <mergeCell ref="CM207:CR207"/>
    <mergeCell ref="CC190:CH190"/>
    <mergeCell ref="CI190:CJ190"/>
    <mergeCell ref="CK190:CL190"/>
    <mergeCell ref="CC191:CH191"/>
    <mergeCell ref="CI191:CJ191"/>
    <mergeCell ref="CC217:CE217"/>
    <mergeCell ref="CF217:CG217"/>
    <mergeCell ref="CH217:CI217"/>
    <mergeCell ref="CK217:CL217"/>
    <mergeCell ref="CC218:CE218"/>
    <mergeCell ref="CF218:CG218"/>
    <mergeCell ref="CH218:CI218"/>
    <mergeCell ref="CK218:CL218"/>
    <mergeCell ref="CM186:CR186"/>
    <mergeCell ref="CM187:CR187"/>
    <mergeCell ref="CM188:CR188"/>
    <mergeCell ref="CM189:CR189"/>
    <mergeCell ref="CM190:CR190"/>
    <mergeCell ref="CM191:CR191"/>
    <mergeCell ref="CM192:CR192"/>
    <mergeCell ref="CM193:CR193"/>
    <mergeCell ref="CM194:CR194"/>
    <mergeCell ref="CM195:CR195"/>
    <mergeCell ref="CM196:CR196"/>
    <mergeCell ref="CM197:CR197"/>
    <mergeCell ref="CM198:CR198"/>
    <mergeCell ref="CM199:CR199"/>
    <mergeCell ref="CM200:CR200"/>
    <mergeCell ref="CM201:CR201"/>
    <mergeCell ref="CM202:CR202"/>
    <mergeCell ref="CM204:CR204"/>
    <mergeCell ref="CM205:CR205"/>
    <mergeCell ref="CM206:CR206"/>
    <mergeCell ref="CC202:CF202"/>
    <mergeCell ref="CG202:CJ202"/>
    <mergeCell ref="CK202:CL202"/>
    <mergeCell ref="CC204:CF204"/>
    <mergeCell ref="CP161:CR161"/>
    <mergeCell ref="CJ162:CM162"/>
    <mergeCell ref="CP162:CR162"/>
    <mergeCell ref="CJ163:CM163"/>
    <mergeCell ref="CP163:CR163"/>
    <mergeCell ref="CJ164:CM164"/>
    <mergeCell ref="CP164:CR164"/>
    <mergeCell ref="L168:N169"/>
    <mergeCell ref="L170:O170"/>
    <mergeCell ref="P170:S170"/>
    <mergeCell ref="T170:U170"/>
    <mergeCell ref="L171:O171"/>
    <mergeCell ref="P171:S171"/>
    <mergeCell ref="T171:U171"/>
    <mergeCell ref="L172:O172"/>
    <mergeCell ref="L158:Q159"/>
    <mergeCell ref="B168:F168"/>
    <mergeCell ref="H168:I168"/>
    <mergeCell ref="B169:F169"/>
    <mergeCell ref="H169:I169"/>
    <mergeCell ref="B170:F170"/>
    <mergeCell ref="H170:I170"/>
    <mergeCell ref="P172:S172"/>
    <mergeCell ref="L161:Q161"/>
    <mergeCell ref="R161:W161"/>
    <mergeCell ref="L160:N160"/>
    <mergeCell ref="O160:Q160"/>
    <mergeCell ref="R160:T160"/>
    <mergeCell ref="U160:W160"/>
    <mergeCell ref="L162:Q162"/>
    <mergeCell ref="L163:Q163"/>
    <mergeCell ref="L164:Q164"/>
    <mergeCell ref="CM208:CO208"/>
    <mergeCell ref="CM209:CR209"/>
    <mergeCell ref="CM210:CR210"/>
    <mergeCell ref="CM211:CR211"/>
    <mergeCell ref="CM212:CR212"/>
    <mergeCell ref="CM213:CR213"/>
    <mergeCell ref="CM214:CR214"/>
    <mergeCell ref="CM215:CR215"/>
    <mergeCell ref="CM216:CR216"/>
    <mergeCell ref="CM217:CR217"/>
    <mergeCell ref="CM218:CR218"/>
    <mergeCell ref="L180:T180"/>
    <mergeCell ref="L181:T181"/>
    <mergeCell ref="L182:T182"/>
    <mergeCell ref="L183:T183"/>
    <mergeCell ref="L184:T184"/>
    <mergeCell ref="L185:T185"/>
    <mergeCell ref="L186:T186"/>
    <mergeCell ref="L187:T187"/>
    <mergeCell ref="L188:T188"/>
    <mergeCell ref="L189:T189"/>
    <mergeCell ref="L190:T190"/>
    <mergeCell ref="L191:T191"/>
    <mergeCell ref="L192:T192"/>
    <mergeCell ref="L193:T193"/>
    <mergeCell ref="L194:T194"/>
    <mergeCell ref="L195:T195"/>
    <mergeCell ref="L196:T196"/>
    <mergeCell ref="CM203:CR203"/>
    <mergeCell ref="CC216:CE216"/>
    <mergeCell ref="CF216:CG216"/>
    <mergeCell ref="CH216:CI216"/>
  </mergeCells>
  <conditionalFormatting sqref="J41:J90">
    <cfRule type="containsText" dxfId="156" priority="231" operator="containsText" text="Local">
      <formula>NOT(ISERROR(SEARCH("Local",J41)))</formula>
    </cfRule>
  </conditionalFormatting>
  <conditionalFormatting sqref="B46:C90">
    <cfRule type="notContainsBlanks" dxfId="155" priority="230">
      <formula>LEN(TRIM(B46))&gt;0</formula>
    </cfRule>
  </conditionalFormatting>
  <conditionalFormatting sqref="M80:M83">
    <cfRule type="expression" dxfId="154" priority="101">
      <formula>"protean&gt;1"</formula>
    </cfRule>
    <cfRule type="notContainsBlanks" dxfId="153" priority="196" stopIfTrue="1">
      <formula>LEN(TRIM(M80))&gt;0</formula>
    </cfRule>
    <cfRule type="expression" dxfId="152" priority="197" stopIfTrue="1">
      <formula>protean&gt;1</formula>
    </cfRule>
  </conditionalFormatting>
  <conditionalFormatting sqref="AA88:AA133">
    <cfRule type="expression" dxfId="151" priority="189" stopIfTrue="1">
      <formula>VLOOKUP(R88,Theban_Chart2,8,FALSE)="Local"</formula>
    </cfRule>
    <cfRule type="expression" dxfId="150" priority="190" stopIfTrue="1">
      <formula>VLOOKUP(R88,Theban_Chart2,8,FALSE)="Learn in Play"</formula>
    </cfRule>
    <cfRule type="expression" dxfId="149" priority="191" stopIfTrue="1">
      <formula>VLOOKUP(R88,Theban_Chart2,8,FALSE)="Reserved"</formula>
    </cfRule>
    <cfRule type="expression" dxfId="148" priority="192" stopIfTrue="1">
      <formula>VLOOKUP(#REF!,Theban_Chart2,8,FALSE)="Unavailable"</formula>
    </cfRule>
  </conditionalFormatting>
  <conditionalFormatting sqref="L88:U133 W88:W133">
    <cfRule type="notContainsBlanks" dxfId="147" priority="184" stopIfTrue="1">
      <formula>LEN(TRIM(L88))&gt;0</formula>
    </cfRule>
  </conditionalFormatting>
  <conditionalFormatting sqref="Z88:AA133">
    <cfRule type="containsText" dxfId="146" priority="182" stopIfTrue="1" operator="containsText" text="Unavailable">
      <formula>NOT(ISERROR(SEARCH("Unavailable",Z88)))</formula>
    </cfRule>
    <cfRule type="containsText" dxfId="145" priority="185" stopIfTrue="1" operator="containsText" text="Overview">
      <formula>NOT(ISERROR(SEARCH("Overview",Z88)))</formula>
    </cfRule>
    <cfRule type="containsText" dxfId="144" priority="186" stopIfTrue="1" operator="containsText" text="Genre">
      <formula>NOT(ISERROR(SEARCH("Genre",Z88)))</formula>
    </cfRule>
    <cfRule type="containsText" dxfId="143" priority="188" stopIfTrue="1" operator="containsText" text="Local">
      <formula>NOT(ISERROR(SEARCH("Local",Z88)))</formula>
    </cfRule>
  </conditionalFormatting>
  <conditionalFormatting sqref="L88:M133">
    <cfRule type="expression" dxfId="142" priority="195" stopIfTrue="1">
      <formula>OR(cruac&gt;0,theban&gt;0)</formula>
    </cfRule>
  </conditionalFormatting>
  <conditionalFormatting sqref="N88:Q133">
    <cfRule type="expression" dxfId="141" priority="193" stopIfTrue="1">
      <formula>L88="Crúac"</formula>
    </cfRule>
  </conditionalFormatting>
  <conditionalFormatting sqref="R88:R133 S89:U133">
    <cfRule type="expression" dxfId="140" priority="194" stopIfTrue="1">
      <formula>L88="theban"</formula>
    </cfRule>
  </conditionalFormatting>
  <conditionalFormatting sqref="Z88:AA133">
    <cfRule type="containsText" dxfId="139" priority="187" stopIfTrue="1" operator="containsText" text="Learn in Play">
      <formula>NOT(ISERROR(SEARCH("Learn in Play",Z88)))</formula>
    </cfRule>
  </conditionalFormatting>
  <conditionalFormatting sqref="E98:E101 E103:E106 E108:E111 E113:E116 E118:E121">
    <cfRule type="notContainsBlanks" dxfId="138" priority="173" stopIfTrue="1">
      <formula>LEN(TRIM(E98))&gt;0</formula>
    </cfRule>
  </conditionalFormatting>
  <conditionalFormatting sqref="R79:R83">
    <cfRule type="notContainsBlanks" dxfId="137" priority="100">
      <formula>LEN(TRIM(R79))&gt;0</formula>
    </cfRule>
    <cfRule type="notContainsBlanks" dxfId="136" priority="152" stopIfTrue="1">
      <formula>LEN(TRIM(R79))&gt;0</formula>
    </cfRule>
  </conditionalFormatting>
  <conditionalFormatting sqref="R79">
    <cfRule type="expression" dxfId="135" priority="151" stopIfTrue="1">
      <formula>spoiling&gt;0</formula>
    </cfRule>
  </conditionalFormatting>
  <conditionalFormatting sqref="R80">
    <cfRule type="expression" dxfId="134" priority="150" stopIfTrue="1">
      <formula>spoiling&gt;=2</formula>
    </cfRule>
  </conditionalFormatting>
  <conditionalFormatting sqref="R81">
    <cfRule type="expression" dxfId="133" priority="149" stopIfTrue="1">
      <formula>spoiling&gt;=3</formula>
    </cfRule>
  </conditionalFormatting>
  <conditionalFormatting sqref="R82">
    <cfRule type="expression" dxfId="132" priority="148" stopIfTrue="1">
      <formula>spoiling&gt;=4</formula>
    </cfRule>
  </conditionalFormatting>
  <conditionalFormatting sqref="R83">
    <cfRule type="expression" dxfId="131" priority="147" stopIfTrue="1">
      <formula>spoiling&gt;=5</formula>
    </cfRule>
  </conditionalFormatting>
  <conditionalFormatting sqref="O60:O70 O72:O74">
    <cfRule type="expression" dxfId="130" priority="144" stopIfTrue="1">
      <formula>$O$75&lt;0</formula>
    </cfRule>
    <cfRule type="notContainsBlanks" dxfId="129" priority="145" stopIfTrue="1">
      <formula>LEN(TRIM(O60))&gt;0</formula>
    </cfRule>
  </conditionalFormatting>
  <conditionalFormatting sqref="O72:O74 O60:O70">
    <cfRule type="expression" dxfId="128" priority="146" stopIfTrue="1">
      <formula>$O$75=0</formula>
    </cfRule>
  </conditionalFormatting>
  <conditionalFormatting sqref="P60:P74">
    <cfRule type="notContainsBlanks" dxfId="127" priority="142" stopIfTrue="1">
      <formula>LEN(TRIM(P60))&gt;0</formula>
    </cfRule>
    <cfRule type="expression" dxfId="126" priority="143" stopIfTrue="1">
      <formula>bloodline=""</formula>
    </cfRule>
  </conditionalFormatting>
  <conditionalFormatting sqref="Q60:Q74">
    <cfRule type="notContainsBlanks" dxfId="125" priority="140" stopIfTrue="1">
      <formula>LEN(TRIM(Q60))&gt;0</formula>
    </cfRule>
    <cfRule type="expression" dxfId="124" priority="141" stopIfTrue="1">
      <formula>bloodline&lt;&gt;""</formula>
    </cfRule>
  </conditionalFormatting>
  <conditionalFormatting sqref="R60:R74">
    <cfRule type="containsText" dxfId="123" priority="138" stopIfTrue="1" operator="containsText" text="N/A">
      <formula>NOT(ISERROR(SEARCH("N/A",R60)))</formula>
    </cfRule>
    <cfRule type="containsText" dxfId="122" priority="139" stopIfTrue="1" operator="containsText" text="Local">
      <formula>NOT(ISERROR(SEARCH("Local",R60)))</formula>
    </cfRule>
  </conditionalFormatting>
  <conditionalFormatting sqref="W27:W34 W37:W44 W47:W54 U60:Y60 V61:Y61 U63:Y65 U66 W66:Y66 U72:Y72">
    <cfRule type="expression" dxfId="121" priority="135" stopIfTrue="1">
      <formula>$W$55&lt;0</formula>
    </cfRule>
    <cfRule type="expression" dxfId="120" priority="136" stopIfTrue="1">
      <formula>$W$55=0</formula>
    </cfRule>
    <cfRule type="notContainsBlanks" dxfId="119" priority="137" stopIfTrue="1">
      <formula>LEN(TRIM(U27))&gt;0</formula>
    </cfRule>
  </conditionalFormatting>
  <conditionalFormatting sqref="S27:V34 S37:V44 S47:V54 P60:Q74">
    <cfRule type="notContainsBlanks" dxfId="118" priority="134" stopIfTrue="1">
      <formula>LEN(TRIM(P27))&gt;0</formula>
    </cfRule>
  </conditionalFormatting>
  <conditionalFormatting sqref="S25">
    <cfRule type="notContainsBlanks" dxfId="117" priority="133">
      <formula>LEN(TRIM(S25))&gt;0</formula>
    </cfRule>
  </conditionalFormatting>
  <conditionalFormatting sqref="O27:O34">
    <cfRule type="expression" dxfId="116" priority="130" stopIfTrue="1">
      <formula>$O$35&lt;0</formula>
    </cfRule>
    <cfRule type="expression" dxfId="115" priority="131" stopIfTrue="1">
      <formula>$O$35=0</formula>
    </cfRule>
    <cfRule type="notContainsBlanks" dxfId="114" priority="132" stopIfTrue="1">
      <formula>LEN(TRIM(O27))&gt;0</formula>
    </cfRule>
  </conditionalFormatting>
  <conditionalFormatting sqref="O37:O44">
    <cfRule type="expression" dxfId="113" priority="127" stopIfTrue="1">
      <formula>$O$45&lt;0</formula>
    </cfRule>
    <cfRule type="expression" dxfId="112" priority="128" stopIfTrue="1">
      <formula>$O$45=0</formula>
    </cfRule>
    <cfRule type="notContainsBlanks" dxfId="111" priority="129" stopIfTrue="1">
      <formula>LEN(TRIM(O37))&gt;0</formula>
    </cfRule>
  </conditionalFormatting>
  <conditionalFormatting sqref="O47:O54">
    <cfRule type="expression" dxfId="110" priority="124" stopIfTrue="1">
      <formula>$O$55&lt;0</formula>
    </cfRule>
    <cfRule type="expression" dxfId="109" priority="125" stopIfTrue="1">
      <formula>$O$55=0</formula>
    </cfRule>
    <cfRule type="notContainsBlanks" dxfId="108" priority="126" stopIfTrue="1">
      <formula>LEN(TRIM(O47))&gt;0</formula>
    </cfRule>
  </conditionalFormatting>
  <conditionalFormatting sqref="H22">
    <cfRule type="notContainsBlanks" dxfId="107" priority="123" stopIfTrue="1">
      <formula>LEN(TRIM(H22))&gt;0</formula>
    </cfRule>
  </conditionalFormatting>
  <conditionalFormatting sqref="E29:E31 E34:E36 E24:E26">
    <cfRule type="notContainsBlanks" dxfId="106" priority="122" stopIfTrue="1">
      <formula>LEN(TRIM(E24))&gt;0</formula>
    </cfRule>
  </conditionalFormatting>
  <conditionalFormatting sqref="E24:E26">
    <cfRule type="expression" dxfId="105" priority="120" stopIfTrue="1">
      <formula>$E$27&lt;0</formula>
    </cfRule>
    <cfRule type="expression" dxfId="104" priority="121" stopIfTrue="1">
      <formula>$E$27=0</formula>
    </cfRule>
  </conditionalFormatting>
  <conditionalFormatting sqref="E29:E31">
    <cfRule type="expression" dxfId="103" priority="118" stopIfTrue="1">
      <formula>$E$32&lt;0</formula>
    </cfRule>
    <cfRule type="expression" dxfId="102" priority="119" stopIfTrue="1">
      <formula>$E$32=0</formula>
    </cfRule>
  </conditionalFormatting>
  <conditionalFormatting sqref="E34:E36">
    <cfRule type="expression" dxfId="101" priority="116" stopIfTrue="1">
      <formula>$E$37&lt;0</formula>
    </cfRule>
    <cfRule type="expression" dxfId="100" priority="117" stopIfTrue="1">
      <formula>$E$37=0</formula>
    </cfRule>
  </conditionalFormatting>
  <conditionalFormatting sqref="D4:G6 K4:N6 R4:U6 C10:G13 C14:D15 C16:E19">
    <cfRule type="notContainsBlanks" dxfId="99" priority="114">
      <formula>LEN(TRIM(C4))&gt;0</formula>
    </cfRule>
  </conditionalFormatting>
  <conditionalFormatting sqref="N17">
    <cfRule type="notContainsBlanks" dxfId="98" priority="106" stopIfTrue="1">
      <formula>LEN(TRIM(N17))&gt;0</formula>
    </cfRule>
    <cfRule type="expression" dxfId="97" priority="107" stopIfTrue="1">
      <formula>bloodline="Mortifiers of the Flesh"</formula>
    </cfRule>
  </conditionalFormatting>
  <conditionalFormatting sqref="N16">
    <cfRule type="notContainsBlanks" dxfId="96" priority="104" stopIfTrue="1">
      <formula>LEN(TRIM(N16))&gt;0</formula>
    </cfRule>
    <cfRule type="expression" dxfId="95" priority="105" stopIfTrue="1">
      <formula>bloodline="Mortifiers of the Flesh"</formula>
    </cfRule>
  </conditionalFormatting>
  <conditionalFormatting sqref="E41:F41 F42:F45 E46:G90">
    <cfRule type="notContainsBlanks" dxfId="94" priority="103">
      <formula>LEN(TRIM(E41))&gt;0</formula>
    </cfRule>
  </conditionalFormatting>
  <conditionalFormatting sqref="E41 E46:E90">
    <cfRule type="expression" dxfId="93" priority="102">
      <formula>$E$91=0</formula>
    </cfRule>
  </conditionalFormatting>
  <conditionalFormatting sqref="O73:O74">
    <cfRule type="cellIs" dxfId="92" priority="99" operator="greaterThan">
      <formula>1</formula>
    </cfRule>
  </conditionalFormatting>
  <conditionalFormatting sqref="E123:E125">
    <cfRule type="notContainsBlanks" dxfId="91" priority="98" stopIfTrue="1">
      <formula>LEN(TRIM(E123))&gt;0</formula>
    </cfRule>
  </conditionalFormatting>
  <conditionalFormatting sqref="G98:H101 G103:H106 G108:H111 G113:H116 G118:H121 G123:H125">
    <cfRule type="containsText" dxfId="90" priority="95" operator="containsText" text="Genre">
      <formula>NOT(ISERROR(SEARCH("Genre",G98)))</formula>
    </cfRule>
  </conditionalFormatting>
  <conditionalFormatting sqref="G98:H101 G103:H106 G108:H111 G113:H116 G118:H121 G123:H125">
    <cfRule type="containsText" dxfId="89" priority="96" operator="containsText" text="Local">
      <formula>NOT(ISERROR(SEARCH("Local",G98)))</formula>
    </cfRule>
  </conditionalFormatting>
  <conditionalFormatting sqref="G98:H101 G103:H106 G108:H111 G113:H116 G118:H121 G123:H125">
    <cfRule type="containsText" dxfId="88" priority="94" operator="containsText" text="Unavailable">
      <formula>NOT(ISERROR(SEARCH("Unavailable",G98)))</formula>
    </cfRule>
  </conditionalFormatting>
  <conditionalFormatting sqref="F18:G18">
    <cfRule type="containsText" dxfId="87" priority="92" operator="containsText" text="Local">
      <formula>NOT(ISERROR(SEARCH("Local",F18)))</formula>
    </cfRule>
    <cfRule type="containsText" dxfId="86" priority="93" operator="containsText" text="ST only">
      <formula>NOT(ISERROR(SEARCH("ST only",F18)))</formula>
    </cfRule>
  </conditionalFormatting>
  <conditionalFormatting sqref="F19:G19">
    <cfRule type="containsText" dxfId="85" priority="91" operator="containsText" text="Genre">
      <formula>NOT(ISERROR(SEARCH("Genre",F19)))</formula>
    </cfRule>
  </conditionalFormatting>
  <conditionalFormatting sqref="X88:X133">
    <cfRule type="expression" dxfId="84" priority="71" stopIfTrue="1">
      <formula>$X$134&lt;0</formula>
    </cfRule>
    <cfRule type="expression" dxfId="83" priority="72" stopIfTrue="1">
      <formula>$X$134&gt;0</formula>
    </cfRule>
    <cfRule type="notContainsBlanks" dxfId="82" priority="73">
      <formula>LEN(TRIM(X88))&gt;0</formula>
    </cfRule>
    <cfRule type="expression" dxfId="81" priority="74" stopIfTrue="1">
      <formula>$X$134=0</formula>
    </cfRule>
  </conditionalFormatting>
  <conditionalFormatting sqref="B131:F171">
    <cfRule type="notContainsBlanks" dxfId="80" priority="70" stopIfTrue="1">
      <formula>LEN(TRIM(B131))&gt;0</formula>
    </cfRule>
  </conditionalFormatting>
  <conditionalFormatting sqref="H131:I171">
    <cfRule type="containsText" dxfId="79" priority="64" stopIfTrue="1" operator="containsText" text="Learn in Play">
      <formula>NOT(ISERROR(SEARCH("Learn in Play",H131)))</formula>
    </cfRule>
    <cfRule type="containsText" dxfId="78" priority="65" stopIfTrue="1" operator="containsText" text="Unavailable">
      <formula>NOT(ISERROR(SEARCH("Unavailable",H131)))</formula>
    </cfRule>
    <cfRule type="containsText" dxfId="77" priority="66" stopIfTrue="1" operator="containsText" text="Overview">
      <formula>NOT(ISERROR(SEARCH("Overview",H131)))</formula>
    </cfRule>
    <cfRule type="containsText" dxfId="76" priority="67" stopIfTrue="1" operator="containsText" text="Genre">
      <formula>NOT(ISERROR(SEARCH("Genre",H131)))</formula>
    </cfRule>
    <cfRule type="containsText" dxfId="75" priority="68" stopIfTrue="1" operator="containsText" text="Local/Genre">
      <formula>NOT(ISERROR(SEARCH("Local/Genre",H131)))</formula>
    </cfRule>
    <cfRule type="containsText" dxfId="74" priority="69" stopIfTrue="1" operator="containsText" text="Local">
      <formula>NOT(ISERROR(SEARCH("Local",H131)))</formula>
    </cfRule>
  </conditionalFormatting>
  <conditionalFormatting sqref="L147:X156 L139:O144 R139:U144">
    <cfRule type="notContainsBlanks" dxfId="73" priority="63" stopIfTrue="1">
      <formula>LEN(TRIM(L139))&gt;0</formula>
    </cfRule>
  </conditionalFormatting>
  <conditionalFormatting sqref="W139:X144 Q139:Q144">
    <cfRule type="containsText" dxfId="72" priority="59" stopIfTrue="1" operator="containsText" text="Unavailable">
      <formula>NOT(ISERROR(SEARCH("Unavailable",Q139)))</formula>
    </cfRule>
    <cfRule type="containsText" dxfId="71" priority="60" stopIfTrue="1" operator="containsText" text="Overview">
      <formula>NOT(ISERROR(SEARCH("Overview",Q139)))</formula>
    </cfRule>
    <cfRule type="containsText" dxfId="70" priority="61" stopIfTrue="1" operator="containsText" text="Genre">
      <formula>NOT(ISERROR(SEARCH("Genre",Q139)))</formula>
    </cfRule>
    <cfRule type="containsText" dxfId="69" priority="62" stopIfTrue="1" operator="containsText" text="Local">
      <formula>NOT(ISERROR(SEARCH("Local",Q139)))</formula>
    </cfRule>
  </conditionalFormatting>
  <conditionalFormatting sqref="I192 I189 D181:D186 F182:F185 H182:H184 F189 F192 C192 C189 B195:C204 F195:I195">
    <cfRule type="notContainsBlanks" dxfId="68" priority="58" stopIfTrue="1">
      <formula>LEN(TRIM(B181))&gt;0</formula>
    </cfRule>
  </conditionalFormatting>
  <conditionalFormatting sqref="C192">
    <cfRule type="expression" dxfId="67" priority="57" stopIfTrue="1">
      <formula>$C$225&gt;$J$225</formula>
    </cfRule>
  </conditionalFormatting>
  <conditionalFormatting sqref="L161 R161">
    <cfRule type="notContainsBlanks" dxfId="66" priority="55" stopIfTrue="1">
      <formula>LEN(TRIM(L161))&gt;0</formula>
    </cfRule>
  </conditionalFormatting>
  <conditionalFormatting sqref="U70:V70">
    <cfRule type="expression" dxfId="65" priority="41" stopIfTrue="1">
      <formula>$W$55&lt;0</formula>
    </cfRule>
    <cfRule type="expression" dxfId="64" priority="42" stopIfTrue="1">
      <formula>$W$55=0</formula>
    </cfRule>
    <cfRule type="notContainsBlanks" dxfId="63" priority="43" stopIfTrue="1">
      <formula>LEN(TRIM(U70))&gt;0</formula>
    </cfRule>
  </conditionalFormatting>
  <conditionalFormatting sqref="Y70">
    <cfRule type="expression" dxfId="62" priority="44" stopIfTrue="1">
      <formula>$W$55&lt;0</formula>
    </cfRule>
    <cfRule type="expression" dxfId="61" priority="45" stopIfTrue="1">
      <formula>$W$55=0</formula>
    </cfRule>
    <cfRule type="notContainsBlanks" dxfId="60" priority="46" stopIfTrue="1">
      <formula>LEN(TRIM(Y70))&gt;0</formula>
    </cfRule>
  </conditionalFormatting>
  <conditionalFormatting sqref="N18">
    <cfRule type="notContainsBlanks" dxfId="59" priority="39" stopIfTrue="1">
      <formula>LEN(TRIM(N18))&gt;0</formula>
    </cfRule>
    <cfRule type="expression" dxfId="58" priority="40" stopIfTrue="1">
      <formula>bloodline="Mortifiers of the Flesh"</formula>
    </cfRule>
  </conditionalFormatting>
  <conditionalFormatting sqref="N19">
    <cfRule type="notContainsBlanks" dxfId="57" priority="37" stopIfTrue="1">
      <formula>LEN(TRIM(N19))&gt;0</formula>
    </cfRule>
    <cfRule type="expression" dxfId="56" priority="38" stopIfTrue="1">
      <formula>bloodline="Mortifiers of the Flesh"</formula>
    </cfRule>
  </conditionalFormatting>
  <conditionalFormatting sqref="M17:N19">
    <cfRule type="notContainsBlanks" dxfId="55" priority="35">
      <formula>LEN(TRIM(M17))&gt;0</formula>
    </cfRule>
    <cfRule type="expression" dxfId="54" priority="36">
      <formula>bloodline="Mortifiers of the Flesh"</formula>
    </cfRule>
  </conditionalFormatting>
  <conditionalFormatting sqref="U80:W83 Y80:Z83">
    <cfRule type="notContainsBlanks" dxfId="53" priority="33">
      <formula>LEN(TRIM(U80))&gt;0</formula>
    </cfRule>
    <cfRule type="expression" dxfId="52" priority="34">
      <formula>protean&gt;3</formula>
    </cfRule>
  </conditionalFormatting>
  <conditionalFormatting sqref="B172:F176">
    <cfRule type="notContainsBlanks" dxfId="51" priority="32" stopIfTrue="1">
      <formula>LEN(TRIM(B172))&gt;0</formula>
    </cfRule>
  </conditionalFormatting>
  <conditionalFormatting sqref="H172:I176">
    <cfRule type="containsText" dxfId="50" priority="26" stopIfTrue="1" operator="containsText" text="Learn in Play">
      <formula>NOT(ISERROR(SEARCH("Learn in Play",H172)))</formula>
    </cfRule>
    <cfRule type="containsText" dxfId="49" priority="27" stopIfTrue="1" operator="containsText" text="Unavailable">
      <formula>NOT(ISERROR(SEARCH("Unavailable",H172)))</formula>
    </cfRule>
    <cfRule type="containsText" dxfId="48" priority="28" stopIfTrue="1" operator="containsText" text="Overview">
      <formula>NOT(ISERROR(SEARCH("Overview",H172)))</formula>
    </cfRule>
    <cfRule type="containsText" dxfId="47" priority="29" stopIfTrue="1" operator="containsText" text="Genre">
      <formula>NOT(ISERROR(SEARCH("Genre",H172)))</formula>
    </cfRule>
    <cfRule type="containsText" dxfId="46" priority="30" stopIfTrue="1" operator="containsText" text="Local/Genre">
      <formula>NOT(ISERROR(SEARCH("Local/Genre",H172)))</formula>
    </cfRule>
    <cfRule type="containsText" dxfId="45" priority="31" stopIfTrue="1" operator="containsText" text="Local">
      <formula>NOT(ISERROR(SEARCH("Local",H172)))</formula>
    </cfRule>
  </conditionalFormatting>
  <conditionalFormatting sqref="L171:U175">
    <cfRule type="notContainsBlanks" dxfId="44" priority="25" stopIfTrue="1">
      <formula>LEN(TRIM(L171))&gt;0</formula>
    </cfRule>
  </conditionalFormatting>
  <conditionalFormatting sqref="L163:L165">
    <cfRule type="notContainsBlanks" dxfId="43" priority="24" stopIfTrue="1">
      <formula>LEN(TRIM(L163))&gt;0</formula>
    </cfRule>
  </conditionalFormatting>
  <conditionalFormatting sqref="L162">
    <cfRule type="notContainsBlanks" dxfId="42" priority="23" stopIfTrue="1">
      <formula>LEN(TRIM(L162))&gt;0</formula>
    </cfRule>
  </conditionalFormatting>
  <conditionalFormatting sqref="R162 R164:R165">
    <cfRule type="notContainsBlanks" dxfId="41" priority="22" stopIfTrue="1">
      <formula>LEN(TRIM(R162))&gt;0</formula>
    </cfRule>
  </conditionalFormatting>
  <conditionalFormatting sqref="R163">
    <cfRule type="notContainsBlanks" dxfId="40" priority="21" stopIfTrue="1">
      <formula>LEN(TRIM(R163))&gt;0</formula>
    </cfRule>
  </conditionalFormatting>
  <conditionalFormatting sqref="L179:T198">
    <cfRule type="notContainsBlanks" dxfId="39" priority="20" stopIfTrue="1">
      <formula>LEN(TRIM(L179))&gt;0</formula>
    </cfRule>
  </conditionalFormatting>
  <conditionalFormatting sqref="F17:G17">
    <cfRule type="containsText" dxfId="38" priority="17" operator="containsText" text="Genre">
      <formula>NOT(ISERROR(SEARCH("Genre",F17)))</formula>
    </cfRule>
    <cfRule type="containsText" dxfId="37" priority="18" operator="containsText" text="Unavailable">
      <formula>NOT(ISERROR(SEARCH("Unavailable",F17)))</formula>
    </cfRule>
    <cfRule type="containsText" dxfId="36" priority="19" operator="containsText" text="Local">
      <formula>NOT(ISERROR(SEARCH("Local",F17)))</formula>
    </cfRule>
  </conditionalFormatting>
  <conditionalFormatting sqref="M13">
    <cfRule type="notContainsBlanks" dxfId="35" priority="16">
      <formula>LEN(TRIM(M13))&gt;0</formula>
    </cfRule>
  </conditionalFormatting>
  <conditionalFormatting sqref="G24:G26 G29:G31 G34:G36 P27:P34 P37:P44 P47:P54 X27:X34 X37:X44 X47:X54 F41:F90 M80:M83 E98:E101 E103:E106 E108:E111 E113:E116 E118:E121 E123:E125 F189 F192 U72:Y72 U70:V70 Y70 U63:Y65 U66 W66:Y66 U60:Y60 V61:Y61">
    <cfRule type="notContainsBlanks" dxfId="34" priority="15" stopIfTrue="1">
      <formula>LEN(TRIM(E24))&gt;0</formula>
    </cfRule>
  </conditionalFormatting>
  <conditionalFormatting sqref="G24:G26 G29:G31 G34:G36 P27:P34 P37:P44 P47:P54 X27:X34 X37:X44 X47:X54 F41:F90 M80:M83 E98:E101 E103:E106 E108:E111 E113:E116 E118:E121 E123:E125 F189 F192 U72:Y72 U70:V70 Y70 U63:Y65 U66 W66:Y66 U60:Y60 V61:Y61 P60:Q74">
    <cfRule type="expression" dxfId="33" priority="14" stopIfTrue="1">
      <formula>$R$13&lt;0</formula>
    </cfRule>
  </conditionalFormatting>
  <conditionalFormatting sqref="H11:J11">
    <cfRule type="notContainsBlanks" dxfId="32" priority="13">
      <formula>LEN(TRIM(H11))&gt;0</formula>
    </cfRule>
  </conditionalFormatting>
  <conditionalFormatting sqref="F24:F26">
    <cfRule type="expression" dxfId="31" priority="9" stopIfTrue="1">
      <formula>SUM($F$24:$F$36)&gt;1</formula>
    </cfRule>
    <cfRule type="expression" dxfId="30" priority="11" stopIfTrue="1">
      <formula>$F$38=1</formula>
    </cfRule>
    <cfRule type="expression" dxfId="29" priority="12" stopIfTrue="1">
      <formula>OR(B24=VLOOKUP(clan1,FATable,2,FALSE),B24=VLOOKUP(clan1,FATable,3,FALSE))</formula>
    </cfRule>
  </conditionalFormatting>
  <conditionalFormatting sqref="F24:F26">
    <cfRule type="notContainsBlanks" dxfId="28" priority="10" stopIfTrue="1">
      <formula>LEN(TRIM(F24))&gt;0</formula>
    </cfRule>
  </conditionalFormatting>
  <conditionalFormatting sqref="F29:F31">
    <cfRule type="expression" dxfId="27" priority="5" stopIfTrue="1">
      <formula>SUM($F$24:$F$36)&gt;1</formula>
    </cfRule>
    <cfRule type="expression" dxfId="26" priority="7" stopIfTrue="1">
      <formula>$F$38=1</formula>
    </cfRule>
    <cfRule type="expression" dxfId="25" priority="8" stopIfTrue="1">
      <formula>OR(B29=VLOOKUP(clan1,FATable,2,FALSE),B29=VLOOKUP(clan1,FATable,3,FALSE))</formula>
    </cfRule>
  </conditionalFormatting>
  <conditionalFormatting sqref="F29:F31">
    <cfRule type="notContainsBlanks" dxfId="24" priority="6" stopIfTrue="1">
      <formula>LEN(TRIM(F29))&gt;0</formula>
    </cfRule>
  </conditionalFormatting>
  <conditionalFormatting sqref="F34:F36">
    <cfRule type="expression" dxfId="23" priority="1" stopIfTrue="1">
      <formula>SUM($F$24:$F$36)&gt;1</formula>
    </cfRule>
    <cfRule type="expression" dxfId="22" priority="3" stopIfTrue="1">
      <formula>$F$38=1</formula>
    </cfRule>
    <cfRule type="expression" dxfId="21" priority="4" stopIfTrue="1">
      <formula>OR(B34=VLOOKUP(clan1,FATable,2,FALSE),B34=VLOOKUP(clan1,FATable,3,FALSE))</formula>
    </cfRule>
  </conditionalFormatting>
  <conditionalFormatting sqref="F34:F36">
    <cfRule type="notContainsBlanks" dxfId="20" priority="2" stopIfTrue="1">
      <formula>LEN(TRIM(F34))&gt;0</formula>
    </cfRule>
  </conditionalFormatting>
  <dataValidations xWindow="953" yWindow="372" count="21">
    <dataValidation type="list" allowBlank="1" showDropDown="1" showInputMessage="1" prompt="1 - Mental, Social, Physical_x000a_2 - Mental, Physical, Social_x000a_3 - Social, Physical, Mental_x000a_4 - Social, Mental, Physical_x000a_5 - Physical, Mental, Social_x000a_6 - Physical, Social, Mental" sqref="H22">
      <formula1>Order</formula1>
    </dataValidation>
    <dataValidation type="list" errorStyle="information" allowBlank="1" showDropDown="1" showInputMessage="1" prompt="1 - Mental, Social, Physical_x000a_2 - Mental, Physical, Social_x000a_3 - Social, Physical, Mental_x000a_4 - Social, Mental, Physical_x000a_5 - Physical, Mental, Social_x000a_6 - Physical, Social, Mental" sqref="S25">
      <formula1>Order2</formula1>
    </dataValidation>
    <dataValidation type="list" allowBlank="1" showInputMessage="1" sqref="B46:C90">
      <formula1>MeritList</formula1>
    </dataValidation>
    <dataValidation type="list" allowBlank="1" showInputMessage="1" showErrorMessage="1" sqref="C17:E17">
      <formula1>bloodlinelist</formula1>
    </dataValidation>
    <dataValidation type="list" allowBlank="1" showInputMessage="1" showErrorMessage="1" sqref="R88:R133">
      <formula1>thebanlist</formula1>
    </dataValidation>
    <dataValidation type="list" allowBlank="1" showInputMessage="1" showErrorMessage="1" sqref="L88:M133">
      <formula1>RitualMod</formula1>
    </dataValidation>
    <dataValidation type="list" allowBlank="1" showInputMessage="1" showErrorMessage="1" sqref="N88:Q133">
      <formula1>cruaclist</formula1>
    </dataValidation>
    <dataValidation type="list" allowBlank="1" showInputMessage="1" showErrorMessage="1" sqref="R79:R83">
      <formula1>attributelist</formula1>
    </dataValidation>
    <dataValidation type="list" allowBlank="1" showInputMessage="1" showErrorMessage="1" sqref="E98 E118 E113 E108 E103">
      <formula1>coilcost</formula1>
    </dataValidation>
    <dataValidation type="list" allowBlank="1" showInputMessage="1" showErrorMessage="1" sqref="C16:E16">
      <formula1>clanlist</formula1>
    </dataValidation>
    <dataValidation type="list" allowBlank="1" showInputMessage="1" showErrorMessage="1" sqref="U60:Y60 V61:Y61 U63:Y65 W66:Y66 U66 Y70 U70:V70 U72:Y72">
      <formula1>clanspecialization</formula1>
    </dataValidation>
    <dataValidation type="list" allowBlank="1" showInputMessage="1" showErrorMessage="1" sqref="C18:E19">
      <formula1>covenantlist</formula1>
    </dataValidation>
    <dataValidation type="list" allowBlank="1" showInputMessage="1" showErrorMessage="1" sqref="B131:B176">
      <formula1>DevotionList</formula1>
    </dataValidation>
    <dataValidation type="list" allowBlank="1" showInputMessage="1" showErrorMessage="1" sqref="P147:P156">
      <formula1>OathDir</formula1>
    </dataValidation>
    <dataValidation type="list" allowBlank="1" showInputMessage="1" showErrorMessage="1" sqref="L139:L144 L147:L156 R139:R144">
      <formula1>OathList</formula1>
    </dataValidation>
    <dataValidation type="list" allowBlank="1" showInputMessage="1" showErrorMessage="1" sqref="B195:B204">
      <formula1>Dire</formula1>
    </dataValidation>
    <dataValidation type="list" allowBlank="1" showInputMessage="1" showErrorMessage="1" sqref="F195">
      <formula1>flawlist</formula1>
    </dataValidation>
    <dataValidation type="list" allowBlank="1" showInputMessage="1" showErrorMessage="1" sqref="K6:N6">
      <formula1>Type</formula1>
    </dataValidation>
    <dataValidation type="list" allowBlank="1" showInputMessage="1" showErrorMessage="1" sqref="M17:N19">
      <formula1>DisciplineBasic</formula1>
    </dataValidation>
    <dataValidation type="list" allowBlank="1" showInputMessage="1" showErrorMessage="1" sqref="C14:D14">
      <formula1>Virtuelist</formula1>
    </dataValidation>
    <dataValidation type="list" allowBlank="1" showInputMessage="1" showErrorMessage="1" sqref="C15:D15">
      <formula1>Vicelist</formula1>
    </dataValidation>
  </dataValidations>
  <pageMargins left="0.31496062992125984" right="0.23622047244094491" top="0.74803149606299213" bottom="0.35433070866141736" header="0.31496062992125984" footer="0.31496062992125984"/>
  <pageSetup paperSize="9" orientation="portrait" r:id="rId1"/>
  <headerFooter>
    <oddHeader>&amp;C&amp;"Papyrus,Regular"&amp;16IOD - Requiem Venue - &amp;P of &amp;N</oddHeader>
  </headerFooter>
  <customProperties>
    <customPr name="_pios_id" r:id="rId2"/>
  </customProperties>
  <ignoredErrors>
    <ignoredError sqref="X10:X21" formula="1"/>
    <ignoredError sqref="D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01"/>
  <sheetViews>
    <sheetView workbookViewId="0">
      <selection activeCell="F44" sqref="F44"/>
    </sheetView>
  </sheetViews>
  <sheetFormatPr defaultRowHeight="12.75" x14ac:dyDescent="0.25"/>
  <cols>
    <col min="1" max="1" width="10.140625" style="5" customWidth="1"/>
    <col min="2" max="2" width="7.42578125" style="5" customWidth="1"/>
    <col min="3" max="3" width="7" style="5" customWidth="1"/>
    <col min="4" max="4" width="11.28515625" style="5" customWidth="1"/>
    <col min="5" max="5" width="22.42578125" style="368" customWidth="1"/>
    <col min="6" max="6" width="39.7109375" style="368" customWidth="1"/>
    <col min="7" max="7" width="9.140625" style="369" customWidth="1"/>
    <col min="8" max="8" width="14.42578125" style="369" customWidth="1"/>
    <col min="9" max="9" width="9.140625" style="369" hidden="1" customWidth="1"/>
    <col min="10" max="10" width="8" style="26" hidden="1" customWidth="1"/>
    <col min="11" max="21" width="8" style="5" hidden="1" customWidth="1"/>
    <col min="22" max="22" width="0" style="369" hidden="1" customWidth="1"/>
    <col min="23" max="255" width="9.140625" style="369"/>
    <col min="256" max="256" width="10.140625" style="369" customWidth="1"/>
    <col min="257" max="257" width="7.42578125" style="369" customWidth="1"/>
    <col min="258" max="258" width="7" style="369" customWidth="1"/>
    <col min="259" max="259" width="11.28515625" style="369" customWidth="1"/>
    <col min="260" max="260" width="22.42578125" style="369" customWidth="1"/>
    <col min="261" max="261" width="39.7109375" style="369" customWidth="1"/>
    <col min="262" max="262" width="9.140625" style="369" customWidth="1"/>
    <col min="263" max="263" width="14.42578125" style="369" customWidth="1"/>
    <col min="264" max="277" width="0" style="369" hidden="1" customWidth="1"/>
    <col min="278" max="511" width="9.140625" style="369"/>
    <col min="512" max="512" width="10.140625" style="369" customWidth="1"/>
    <col min="513" max="513" width="7.42578125" style="369" customWidth="1"/>
    <col min="514" max="514" width="7" style="369" customWidth="1"/>
    <col min="515" max="515" width="11.28515625" style="369" customWidth="1"/>
    <col min="516" max="516" width="22.42578125" style="369" customWidth="1"/>
    <col min="517" max="517" width="39.7109375" style="369" customWidth="1"/>
    <col min="518" max="518" width="9.140625" style="369" customWidth="1"/>
    <col min="519" max="519" width="14.42578125" style="369" customWidth="1"/>
    <col min="520" max="533" width="0" style="369" hidden="1" customWidth="1"/>
    <col min="534" max="767" width="9.140625" style="369"/>
    <col min="768" max="768" width="10.140625" style="369" customWidth="1"/>
    <col min="769" max="769" width="7.42578125" style="369" customWidth="1"/>
    <col min="770" max="770" width="7" style="369" customWidth="1"/>
    <col min="771" max="771" width="11.28515625" style="369" customWidth="1"/>
    <col min="772" max="772" width="22.42578125" style="369" customWidth="1"/>
    <col min="773" max="773" width="39.7109375" style="369" customWidth="1"/>
    <col min="774" max="774" width="9.140625" style="369" customWidth="1"/>
    <col min="775" max="775" width="14.42578125" style="369" customWidth="1"/>
    <col min="776" max="789" width="0" style="369" hidden="1" customWidth="1"/>
    <col min="790" max="1023" width="9.140625" style="369"/>
    <col min="1024" max="1024" width="10.140625" style="369" customWidth="1"/>
    <col min="1025" max="1025" width="7.42578125" style="369" customWidth="1"/>
    <col min="1026" max="1026" width="7" style="369" customWidth="1"/>
    <col min="1027" max="1027" width="11.28515625" style="369" customWidth="1"/>
    <col min="1028" max="1028" width="22.42578125" style="369" customWidth="1"/>
    <col min="1029" max="1029" width="39.7109375" style="369" customWidth="1"/>
    <col min="1030" max="1030" width="9.140625" style="369" customWidth="1"/>
    <col min="1031" max="1031" width="14.42578125" style="369" customWidth="1"/>
    <col min="1032" max="1045" width="0" style="369" hidden="1" customWidth="1"/>
    <col min="1046" max="1279" width="9.140625" style="369"/>
    <col min="1280" max="1280" width="10.140625" style="369" customWidth="1"/>
    <col min="1281" max="1281" width="7.42578125" style="369" customWidth="1"/>
    <col min="1282" max="1282" width="7" style="369" customWidth="1"/>
    <col min="1283" max="1283" width="11.28515625" style="369" customWidth="1"/>
    <col min="1284" max="1284" width="22.42578125" style="369" customWidth="1"/>
    <col min="1285" max="1285" width="39.7109375" style="369" customWidth="1"/>
    <col min="1286" max="1286" width="9.140625" style="369" customWidth="1"/>
    <col min="1287" max="1287" width="14.42578125" style="369" customWidth="1"/>
    <col min="1288" max="1301" width="0" style="369" hidden="1" customWidth="1"/>
    <col min="1302" max="1535" width="9.140625" style="369"/>
    <col min="1536" max="1536" width="10.140625" style="369" customWidth="1"/>
    <col min="1537" max="1537" width="7.42578125" style="369" customWidth="1"/>
    <col min="1538" max="1538" width="7" style="369" customWidth="1"/>
    <col min="1539" max="1539" width="11.28515625" style="369" customWidth="1"/>
    <col min="1540" max="1540" width="22.42578125" style="369" customWidth="1"/>
    <col min="1541" max="1541" width="39.7109375" style="369" customWidth="1"/>
    <col min="1542" max="1542" width="9.140625" style="369" customWidth="1"/>
    <col min="1543" max="1543" width="14.42578125" style="369" customWidth="1"/>
    <col min="1544" max="1557" width="0" style="369" hidden="1" customWidth="1"/>
    <col min="1558" max="1791" width="9.140625" style="369"/>
    <col min="1792" max="1792" width="10.140625" style="369" customWidth="1"/>
    <col min="1793" max="1793" width="7.42578125" style="369" customWidth="1"/>
    <col min="1794" max="1794" width="7" style="369" customWidth="1"/>
    <col min="1795" max="1795" width="11.28515625" style="369" customWidth="1"/>
    <col min="1796" max="1796" width="22.42578125" style="369" customWidth="1"/>
    <col min="1797" max="1797" width="39.7109375" style="369" customWidth="1"/>
    <col min="1798" max="1798" width="9.140625" style="369" customWidth="1"/>
    <col min="1799" max="1799" width="14.42578125" style="369" customWidth="1"/>
    <col min="1800" max="1813" width="0" style="369" hidden="1" customWidth="1"/>
    <col min="1814" max="2047" width="9.140625" style="369"/>
    <col min="2048" max="2048" width="10.140625" style="369" customWidth="1"/>
    <col min="2049" max="2049" width="7.42578125" style="369" customWidth="1"/>
    <col min="2050" max="2050" width="7" style="369" customWidth="1"/>
    <col min="2051" max="2051" width="11.28515625" style="369" customWidth="1"/>
    <col min="2052" max="2052" width="22.42578125" style="369" customWidth="1"/>
    <col min="2053" max="2053" width="39.7109375" style="369" customWidth="1"/>
    <col min="2054" max="2054" width="9.140625" style="369" customWidth="1"/>
    <col min="2055" max="2055" width="14.42578125" style="369" customWidth="1"/>
    <col min="2056" max="2069" width="0" style="369" hidden="1" customWidth="1"/>
    <col min="2070" max="2303" width="9.140625" style="369"/>
    <col min="2304" max="2304" width="10.140625" style="369" customWidth="1"/>
    <col min="2305" max="2305" width="7.42578125" style="369" customWidth="1"/>
    <col min="2306" max="2306" width="7" style="369" customWidth="1"/>
    <col min="2307" max="2307" width="11.28515625" style="369" customWidth="1"/>
    <col min="2308" max="2308" width="22.42578125" style="369" customWidth="1"/>
    <col min="2309" max="2309" width="39.7109375" style="369" customWidth="1"/>
    <col min="2310" max="2310" width="9.140625" style="369" customWidth="1"/>
    <col min="2311" max="2311" width="14.42578125" style="369" customWidth="1"/>
    <col min="2312" max="2325" width="0" style="369" hidden="1" customWidth="1"/>
    <col min="2326" max="2559" width="9.140625" style="369"/>
    <col min="2560" max="2560" width="10.140625" style="369" customWidth="1"/>
    <col min="2561" max="2561" width="7.42578125" style="369" customWidth="1"/>
    <col min="2562" max="2562" width="7" style="369" customWidth="1"/>
    <col min="2563" max="2563" width="11.28515625" style="369" customWidth="1"/>
    <col min="2564" max="2564" width="22.42578125" style="369" customWidth="1"/>
    <col min="2565" max="2565" width="39.7109375" style="369" customWidth="1"/>
    <col min="2566" max="2566" width="9.140625" style="369" customWidth="1"/>
    <col min="2567" max="2567" width="14.42578125" style="369" customWidth="1"/>
    <col min="2568" max="2581" width="0" style="369" hidden="1" customWidth="1"/>
    <col min="2582" max="2815" width="9.140625" style="369"/>
    <col min="2816" max="2816" width="10.140625" style="369" customWidth="1"/>
    <col min="2817" max="2817" width="7.42578125" style="369" customWidth="1"/>
    <col min="2818" max="2818" width="7" style="369" customWidth="1"/>
    <col min="2819" max="2819" width="11.28515625" style="369" customWidth="1"/>
    <col min="2820" max="2820" width="22.42578125" style="369" customWidth="1"/>
    <col min="2821" max="2821" width="39.7109375" style="369" customWidth="1"/>
    <col min="2822" max="2822" width="9.140625" style="369" customWidth="1"/>
    <col min="2823" max="2823" width="14.42578125" style="369" customWidth="1"/>
    <col min="2824" max="2837" width="0" style="369" hidden="1" customWidth="1"/>
    <col min="2838" max="3071" width="9.140625" style="369"/>
    <col min="3072" max="3072" width="10.140625" style="369" customWidth="1"/>
    <col min="3073" max="3073" width="7.42578125" style="369" customWidth="1"/>
    <col min="3074" max="3074" width="7" style="369" customWidth="1"/>
    <col min="3075" max="3075" width="11.28515625" style="369" customWidth="1"/>
    <col min="3076" max="3076" width="22.42578125" style="369" customWidth="1"/>
    <col min="3077" max="3077" width="39.7109375" style="369" customWidth="1"/>
    <col min="3078" max="3078" width="9.140625" style="369" customWidth="1"/>
    <col min="3079" max="3079" width="14.42578125" style="369" customWidth="1"/>
    <col min="3080" max="3093" width="0" style="369" hidden="1" customWidth="1"/>
    <col min="3094" max="3327" width="9.140625" style="369"/>
    <col min="3328" max="3328" width="10.140625" style="369" customWidth="1"/>
    <col min="3329" max="3329" width="7.42578125" style="369" customWidth="1"/>
    <col min="3330" max="3330" width="7" style="369" customWidth="1"/>
    <col min="3331" max="3331" width="11.28515625" style="369" customWidth="1"/>
    <col min="3332" max="3332" width="22.42578125" style="369" customWidth="1"/>
    <col min="3333" max="3333" width="39.7109375" style="369" customWidth="1"/>
    <col min="3334" max="3334" width="9.140625" style="369" customWidth="1"/>
    <col min="3335" max="3335" width="14.42578125" style="369" customWidth="1"/>
    <col min="3336" max="3349" width="0" style="369" hidden="1" customWidth="1"/>
    <col min="3350" max="3583" width="9.140625" style="369"/>
    <col min="3584" max="3584" width="10.140625" style="369" customWidth="1"/>
    <col min="3585" max="3585" width="7.42578125" style="369" customWidth="1"/>
    <col min="3586" max="3586" width="7" style="369" customWidth="1"/>
    <col min="3587" max="3587" width="11.28515625" style="369" customWidth="1"/>
    <col min="3588" max="3588" width="22.42578125" style="369" customWidth="1"/>
    <col min="3589" max="3589" width="39.7109375" style="369" customWidth="1"/>
    <col min="3590" max="3590" width="9.140625" style="369" customWidth="1"/>
    <col min="3591" max="3591" width="14.42578125" style="369" customWidth="1"/>
    <col min="3592" max="3605" width="0" style="369" hidden="1" customWidth="1"/>
    <col min="3606" max="3839" width="9.140625" style="369"/>
    <col min="3840" max="3840" width="10.140625" style="369" customWidth="1"/>
    <col min="3841" max="3841" width="7.42578125" style="369" customWidth="1"/>
    <col min="3842" max="3842" width="7" style="369" customWidth="1"/>
    <col min="3843" max="3843" width="11.28515625" style="369" customWidth="1"/>
    <col min="3844" max="3844" width="22.42578125" style="369" customWidth="1"/>
    <col min="3845" max="3845" width="39.7109375" style="369" customWidth="1"/>
    <col min="3846" max="3846" width="9.140625" style="369" customWidth="1"/>
    <col min="3847" max="3847" width="14.42578125" style="369" customWidth="1"/>
    <col min="3848" max="3861" width="0" style="369" hidden="1" customWidth="1"/>
    <col min="3862" max="4095" width="9.140625" style="369"/>
    <col min="4096" max="4096" width="10.140625" style="369" customWidth="1"/>
    <col min="4097" max="4097" width="7.42578125" style="369" customWidth="1"/>
    <col min="4098" max="4098" width="7" style="369" customWidth="1"/>
    <col min="4099" max="4099" width="11.28515625" style="369" customWidth="1"/>
    <col min="4100" max="4100" width="22.42578125" style="369" customWidth="1"/>
    <col min="4101" max="4101" width="39.7109375" style="369" customWidth="1"/>
    <col min="4102" max="4102" width="9.140625" style="369" customWidth="1"/>
    <col min="4103" max="4103" width="14.42578125" style="369" customWidth="1"/>
    <col min="4104" max="4117" width="0" style="369" hidden="1" customWidth="1"/>
    <col min="4118" max="4351" width="9.140625" style="369"/>
    <col min="4352" max="4352" width="10.140625" style="369" customWidth="1"/>
    <col min="4353" max="4353" width="7.42578125" style="369" customWidth="1"/>
    <col min="4354" max="4354" width="7" style="369" customWidth="1"/>
    <col min="4355" max="4355" width="11.28515625" style="369" customWidth="1"/>
    <col min="4356" max="4356" width="22.42578125" style="369" customWidth="1"/>
    <col min="4357" max="4357" width="39.7109375" style="369" customWidth="1"/>
    <col min="4358" max="4358" width="9.140625" style="369" customWidth="1"/>
    <col min="4359" max="4359" width="14.42578125" style="369" customWidth="1"/>
    <col min="4360" max="4373" width="0" style="369" hidden="1" customWidth="1"/>
    <col min="4374" max="4607" width="9.140625" style="369"/>
    <col min="4608" max="4608" width="10.140625" style="369" customWidth="1"/>
    <col min="4609" max="4609" width="7.42578125" style="369" customWidth="1"/>
    <col min="4610" max="4610" width="7" style="369" customWidth="1"/>
    <col min="4611" max="4611" width="11.28515625" style="369" customWidth="1"/>
    <col min="4612" max="4612" width="22.42578125" style="369" customWidth="1"/>
    <col min="4613" max="4613" width="39.7109375" style="369" customWidth="1"/>
    <col min="4614" max="4614" width="9.140625" style="369" customWidth="1"/>
    <col min="4615" max="4615" width="14.42578125" style="369" customWidth="1"/>
    <col min="4616" max="4629" width="0" style="369" hidden="1" customWidth="1"/>
    <col min="4630" max="4863" width="9.140625" style="369"/>
    <col min="4864" max="4864" width="10.140625" style="369" customWidth="1"/>
    <col min="4865" max="4865" width="7.42578125" style="369" customWidth="1"/>
    <col min="4866" max="4866" width="7" style="369" customWidth="1"/>
    <col min="4867" max="4867" width="11.28515625" style="369" customWidth="1"/>
    <col min="4868" max="4868" width="22.42578125" style="369" customWidth="1"/>
    <col min="4869" max="4869" width="39.7109375" style="369" customWidth="1"/>
    <col min="4870" max="4870" width="9.140625" style="369" customWidth="1"/>
    <col min="4871" max="4871" width="14.42578125" style="369" customWidth="1"/>
    <col min="4872" max="4885" width="0" style="369" hidden="1" customWidth="1"/>
    <col min="4886" max="5119" width="9.140625" style="369"/>
    <col min="5120" max="5120" width="10.140625" style="369" customWidth="1"/>
    <col min="5121" max="5121" width="7.42578125" style="369" customWidth="1"/>
    <col min="5122" max="5122" width="7" style="369" customWidth="1"/>
    <col min="5123" max="5123" width="11.28515625" style="369" customWidth="1"/>
    <col min="5124" max="5124" width="22.42578125" style="369" customWidth="1"/>
    <col min="5125" max="5125" width="39.7109375" style="369" customWidth="1"/>
    <col min="5126" max="5126" width="9.140625" style="369" customWidth="1"/>
    <col min="5127" max="5127" width="14.42578125" style="369" customWidth="1"/>
    <col min="5128" max="5141" width="0" style="369" hidden="1" customWidth="1"/>
    <col min="5142" max="5375" width="9.140625" style="369"/>
    <col min="5376" max="5376" width="10.140625" style="369" customWidth="1"/>
    <col min="5377" max="5377" width="7.42578125" style="369" customWidth="1"/>
    <col min="5378" max="5378" width="7" style="369" customWidth="1"/>
    <col min="5379" max="5379" width="11.28515625" style="369" customWidth="1"/>
    <col min="5380" max="5380" width="22.42578125" style="369" customWidth="1"/>
    <col min="5381" max="5381" width="39.7109375" style="369" customWidth="1"/>
    <col min="5382" max="5382" width="9.140625" style="369" customWidth="1"/>
    <col min="5383" max="5383" width="14.42578125" style="369" customWidth="1"/>
    <col min="5384" max="5397" width="0" style="369" hidden="1" customWidth="1"/>
    <col min="5398" max="5631" width="9.140625" style="369"/>
    <col min="5632" max="5632" width="10.140625" style="369" customWidth="1"/>
    <col min="5633" max="5633" width="7.42578125" style="369" customWidth="1"/>
    <col min="5634" max="5634" width="7" style="369" customWidth="1"/>
    <col min="5635" max="5635" width="11.28515625" style="369" customWidth="1"/>
    <col min="5636" max="5636" width="22.42578125" style="369" customWidth="1"/>
    <col min="5637" max="5637" width="39.7109375" style="369" customWidth="1"/>
    <col min="5638" max="5638" width="9.140625" style="369" customWidth="1"/>
    <col min="5639" max="5639" width="14.42578125" style="369" customWidth="1"/>
    <col min="5640" max="5653" width="0" style="369" hidden="1" customWidth="1"/>
    <col min="5654" max="5887" width="9.140625" style="369"/>
    <col min="5888" max="5888" width="10.140625" style="369" customWidth="1"/>
    <col min="5889" max="5889" width="7.42578125" style="369" customWidth="1"/>
    <col min="5890" max="5890" width="7" style="369" customWidth="1"/>
    <col min="5891" max="5891" width="11.28515625" style="369" customWidth="1"/>
    <col min="5892" max="5892" width="22.42578125" style="369" customWidth="1"/>
    <col min="5893" max="5893" width="39.7109375" style="369" customWidth="1"/>
    <col min="5894" max="5894" width="9.140625" style="369" customWidth="1"/>
    <col min="5895" max="5895" width="14.42578125" style="369" customWidth="1"/>
    <col min="5896" max="5909" width="0" style="369" hidden="1" customWidth="1"/>
    <col min="5910" max="6143" width="9.140625" style="369"/>
    <col min="6144" max="6144" width="10.140625" style="369" customWidth="1"/>
    <col min="6145" max="6145" width="7.42578125" style="369" customWidth="1"/>
    <col min="6146" max="6146" width="7" style="369" customWidth="1"/>
    <col min="6147" max="6147" width="11.28515625" style="369" customWidth="1"/>
    <col min="6148" max="6148" width="22.42578125" style="369" customWidth="1"/>
    <col min="6149" max="6149" width="39.7109375" style="369" customWidth="1"/>
    <col min="6150" max="6150" width="9.140625" style="369" customWidth="1"/>
    <col min="6151" max="6151" width="14.42578125" style="369" customWidth="1"/>
    <col min="6152" max="6165" width="0" style="369" hidden="1" customWidth="1"/>
    <col min="6166" max="6399" width="9.140625" style="369"/>
    <col min="6400" max="6400" width="10.140625" style="369" customWidth="1"/>
    <col min="6401" max="6401" width="7.42578125" style="369" customWidth="1"/>
    <col min="6402" max="6402" width="7" style="369" customWidth="1"/>
    <col min="6403" max="6403" width="11.28515625" style="369" customWidth="1"/>
    <col min="6404" max="6404" width="22.42578125" style="369" customWidth="1"/>
    <col min="6405" max="6405" width="39.7109375" style="369" customWidth="1"/>
    <col min="6406" max="6406" width="9.140625" style="369" customWidth="1"/>
    <col min="6407" max="6407" width="14.42578125" style="369" customWidth="1"/>
    <col min="6408" max="6421" width="0" style="369" hidden="1" customWidth="1"/>
    <col min="6422" max="6655" width="9.140625" style="369"/>
    <col min="6656" max="6656" width="10.140625" style="369" customWidth="1"/>
    <col min="6657" max="6657" width="7.42578125" style="369" customWidth="1"/>
    <col min="6658" max="6658" width="7" style="369" customWidth="1"/>
    <col min="6659" max="6659" width="11.28515625" style="369" customWidth="1"/>
    <col min="6660" max="6660" width="22.42578125" style="369" customWidth="1"/>
    <col min="6661" max="6661" width="39.7109375" style="369" customWidth="1"/>
    <col min="6662" max="6662" width="9.140625" style="369" customWidth="1"/>
    <col min="6663" max="6663" width="14.42578125" style="369" customWidth="1"/>
    <col min="6664" max="6677" width="0" style="369" hidden="1" customWidth="1"/>
    <col min="6678" max="6911" width="9.140625" style="369"/>
    <col min="6912" max="6912" width="10.140625" style="369" customWidth="1"/>
    <col min="6913" max="6913" width="7.42578125" style="369" customWidth="1"/>
    <col min="6914" max="6914" width="7" style="369" customWidth="1"/>
    <col min="6915" max="6915" width="11.28515625" style="369" customWidth="1"/>
    <col min="6916" max="6916" width="22.42578125" style="369" customWidth="1"/>
    <col min="6917" max="6917" width="39.7109375" style="369" customWidth="1"/>
    <col min="6918" max="6918" width="9.140625" style="369" customWidth="1"/>
    <col min="6919" max="6919" width="14.42578125" style="369" customWidth="1"/>
    <col min="6920" max="6933" width="0" style="369" hidden="1" customWidth="1"/>
    <col min="6934" max="7167" width="9.140625" style="369"/>
    <col min="7168" max="7168" width="10.140625" style="369" customWidth="1"/>
    <col min="7169" max="7169" width="7.42578125" style="369" customWidth="1"/>
    <col min="7170" max="7170" width="7" style="369" customWidth="1"/>
    <col min="7171" max="7171" width="11.28515625" style="369" customWidth="1"/>
    <col min="7172" max="7172" width="22.42578125" style="369" customWidth="1"/>
    <col min="7173" max="7173" width="39.7109375" style="369" customWidth="1"/>
    <col min="7174" max="7174" width="9.140625" style="369" customWidth="1"/>
    <col min="7175" max="7175" width="14.42578125" style="369" customWidth="1"/>
    <col min="7176" max="7189" width="0" style="369" hidden="1" customWidth="1"/>
    <col min="7190" max="7423" width="9.140625" style="369"/>
    <col min="7424" max="7424" width="10.140625" style="369" customWidth="1"/>
    <col min="7425" max="7425" width="7.42578125" style="369" customWidth="1"/>
    <col min="7426" max="7426" width="7" style="369" customWidth="1"/>
    <col min="7427" max="7427" width="11.28515625" style="369" customWidth="1"/>
    <col min="7428" max="7428" width="22.42578125" style="369" customWidth="1"/>
    <col min="7429" max="7429" width="39.7109375" style="369" customWidth="1"/>
    <col min="7430" max="7430" width="9.140625" style="369" customWidth="1"/>
    <col min="7431" max="7431" width="14.42578125" style="369" customWidth="1"/>
    <col min="7432" max="7445" width="0" style="369" hidden="1" customWidth="1"/>
    <col min="7446" max="7679" width="9.140625" style="369"/>
    <col min="7680" max="7680" width="10.140625" style="369" customWidth="1"/>
    <col min="7681" max="7681" width="7.42578125" style="369" customWidth="1"/>
    <col min="7682" max="7682" width="7" style="369" customWidth="1"/>
    <col min="7683" max="7683" width="11.28515625" style="369" customWidth="1"/>
    <col min="7684" max="7684" width="22.42578125" style="369" customWidth="1"/>
    <col min="7685" max="7685" width="39.7109375" style="369" customWidth="1"/>
    <col min="7686" max="7686" width="9.140625" style="369" customWidth="1"/>
    <col min="7687" max="7687" width="14.42578125" style="369" customWidth="1"/>
    <col min="7688" max="7701" width="0" style="369" hidden="1" customWidth="1"/>
    <col min="7702" max="7935" width="9.140625" style="369"/>
    <col min="7936" max="7936" width="10.140625" style="369" customWidth="1"/>
    <col min="7937" max="7937" width="7.42578125" style="369" customWidth="1"/>
    <col min="7938" max="7938" width="7" style="369" customWidth="1"/>
    <col min="7939" max="7939" width="11.28515625" style="369" customWidth="1"/>
    <col min="7940" max="7940" width="22.42578125" style="369" customWidth="1"/>
    <col min="7941" max="7941" width="39.7109375" style="369" customWidth="1"/>
    <col min="7942" max="7942" width="9.140625" style="369" customWidth="1"/>
    <col min="7943" max="7943" width="14.42578125" style="369" customWidth="1"/>
    <col min="7944" max="7957" width="0" style="369" hidden="1" customWidth="1"/>
    <col min="7958" max="8191" width="9.140625" style="369"/>
    <col min="8192" max="8192" width="10.140625" style="369" customWidth="1"/>
    <col min="8193" max="8193" width="7.42578125" style="369" customWidth="1"/>
    <col min="8194" max="8194" width="7" style="369" customWidth="1"/>
    <col min="8195" max="8195" width="11.28515625" style="369" customWidth="1"/>
    <col min="8196" max="8196" width="22.42578125" style="369" customWidth="1"/>
    <col min="8197" max="8197" width="39.7109375" style="369" customWidth="1"/>
    <col min="8198" max="8198" width="9.140625" style="369" customWidth="1"/>
    <col min="8199" max="8199" width="14.42578125" style="369" customWidth="1"/>
    <col min="8200" max="8213" width="0" style="369" hidden="1" customWidth="1"/>
    <col min="8214" max="8447" width="9.140625" style="369"/>
    <col min="8448" max="8448" width="10.140625" style="369" customWidth="1"/>
    <col min="8449" max="8449" width="7.42578125" style="369" customWidth="1"/>
    <col min="8450" max="8450" width="7" style="369" customWidth="1"/>
    <col min="8451" max="8451" width="11.28515625" style="369" customWidth="1"/>
    <col min="8452" max="8452" width="22.42578125" style="369" customWidth="1"/>
    <col min="8453" max="8453" width="39.7109375" style="369" customWidth="1"/>
    <col min="8454" max="8454" width="9.140625" style="369" customWidth="1"/>
    <col min="8455" max="8455" width="14.42578125" style="369" customWidth="1"/>
    <col min="8456" max="8469" width="0" style="369" hidden="1" customWidth="1"/>
    <col min="8470" max="8703" width="9.140625" style="369"/>
    <col min="8704" max="8704" width="10.140625" style="369" customWidth="1"/>
    <col min="8705" max="8705" width="7.42578125" style="369" customWidth="1"/>
    <col min="8706" max="8706" width="7" style="369" customWidth="1"/>
    <col min="8707" max="8707" width="11.28515625" style="369" customWidth="1"/>
    <col min="8708" max="8708" width="22.42578125" style="369" customWidth="1"/>
    <col min="8709" max="8709" width="39.7109375" style="369" customWidth="1"/>
    <col min="8710" max="8710" width="9.140625" style="369" customWidth="1"/>
    <col min="8711" max="8711" width="14.42578125" style="369" customWidth="1"/>
    <col min="8712" max="8725" width="0" style="369" hidden="1" customWidth="1"/>
    <col min="8726" max="8959" width="9.140625" style="369"/>
    <col min="8960" max="8960" width="10.140625" style="369" customWidth="1"/>
    <col min="8961" max="8961" width="7.42578125" style="369" customWidth="1"/>
    <col min="8962" max="8962" width="7" style="369" customWidth="1"/>
    <col min="8963" max="8963" width="11.28515625" style="369" customWidth="1"/>
    <col min="8964" max="8964" width="22.42578125" style="369" customWidth="1"/>
    <col min="8965" max="8965" width="39.7109375" style="369" customWidth="1"/>
    <col min="8966" max="8966" width="9.140625" style="369" customWidth="1"/>
    <col min="8967" max="8967" width="14.42578125" style="369" customWidth="1"/>
    <col min="8968" max="8981" width="0" style="369" hidden="1" customWidth="1"/>
    <col min="8982" max="9215" width="9.140625" style="369"/>
    <col min="9216" max="9216" width="10.140625" style="369" customWidth="1"/>
    <col min="9217" max="9217" width="7.42578125" style="369" customWidth="1"/>
    <col min="9218" max="9218" width="7" style="369" customWidth="1"/>
    <col min="9219" max="9219" width="11.28515625" style="369" customWidth="1"/>
    <col min="9220" max="9220" width="22.42578125" style="369" customWidth="1"/>
    <col min="9221" max="9221" width="39.7109375" style="369" customWidth="1"/>
    <col min="9222" max="9222" width="9.140625" style="369" customWidth="1"/>
    <col min="9223" max="9223" width="14.42578125" style="369" customWidth="1"/>
    <col min="9224" max="9237" width="0" style="369" hidden="1" customWidth="1"/>
    <col min="9238" max="9471" width="9.140625" style="369"/>
    <col min="9472" max="9472" width="10.140625" style="369" customWidth="1"/>
    <col min="9473" max="9473" width="7.42578125" style="369" customWidth="1"/>
    <col min="9474" max="9474" width="7" style="369" customWidth="1"/>
    <col min="9475" max="9475" width="11.28515625" style="369" customWidth="1"/>
    <col min="9476" max="9476" width="22.42578125" style="369" customWidth="1"/>
    <col min="9477" max="9477" width="39.7109375" style="369" customWidth="1"/>
    <col min="9478" max="9478" width="9.140625" style="369" customWidth="1"/>
    <col min="9479" max="9479" width="14.42578125" style="369" customWidth="1"/>
    <col min="9480" max="9493" width="0" style="369" hidden="1" customWidth="1"/>
    <col min="9494" max="9727" width="9.140625" style="369"/>
    <col min="9728" max="9728" width="10.140625" style="369" customWidth="1"/>
    <col min="9729" max="9729" width="7.42578125" style="369" customWidth="1"/>
    <col min="9730" max="9730" width="7" style="369" customWidth="1"/>
    <col min="9731" max="9731" width="11.28515625" style="369" customWidth="1"/>
    <col min="9732" max="9732" width="22.42578125" style="369" customWidth="1"/>
    <col min="9733" max="9733" width="39.7109375" style="369" customWidth="1"/>
    <col min="9734" max="9734" width="9.140625" style="369" customWidth="1"/>
    <col min="9735" max="9735" width="14.42578125" style="369" customWidth="1"/>
    <col min="9736" max="9749" width="0" style="369" hidden="1" customWidth="1"/>
    <col min="9750" max="9983" width="9.140625" style="369"/>
    <col min="9984" max="9984" width="10.140625" style="369" customWidth="1"/>
    <col min="9985" max="9985" width="7.42578125" style="369" customWidth="1"/>
    <col min="9986" max="9986" width="7" style="369" customWidth="1"/>
    <col min="9987" max="9987" width="11.28515625" style="369" customWidth="1"/>
    <col min="9988" max="9988" width="22.42578125" style="369" customWidth="1"/>
    <col min="9989" max="9989" width="39.7109375" style="369" customWidth="1"/>
    <col min="9990" max="9990" width="9.140625" style="369" customWidth="1"/>
    <col min="9991" max="9991" width="14.42578125" style="369" customWidth="1"/>
    <col min="9992" max="10005" width="0" style="369" hidden="1" customWidth="1"/>
    <col min="10006" max="10239" width="9.140625" style="369"/>
    <col min="10240" max="10240" width="10.140625" style="369" customWidth="1"/>
    <col min="10241" max="10241" width="7.42578125" style="369" customWidth="1"/>
    <col min="10242" max="10242" width="7" style="369" customWidth="1"/>
    <col min="10243" max="10243" width="11.28515625" style="369" customWidth="1"/>
    <col min="10244" max="10244" width="22.42578125" style="369" customWidth="1"/>
    <col min="10245" max="10245" width="39.7109375" style="369" customWidth="1"/>
    <col min="10246" max="10246" width="9.140625" style="369" customWidth="1"/>
    <col min="10247" max="10247" width="14.42578125" style="369" customWidth="1"/>
    <col min="10248" max="10261" width="0" style="369" hidden="1" customWidth="1"/>
    <col min="10262" max="10495" width="9.140625" style="369"/>
    <col min="10496" max="10496" width="10.140625" style="369" customWidth="1"/>
    <col min="10497" max="10497" width="7.42578125" style="369" customWidth="1"/>
    <col min="10498" max="10498" width="7" style="369" customWidth="1"/>
    <col min="10499" max="10499" width="11.28515625" style="369" customWidth="1"/>
    <col min="10500" max="10500" width="22.42578125" style="369" customWidth="1"/>
    <col min="10501" max="10501" width="39.7109375" style="369" customWidth="1"/>
    <col min="10502" max="10502" width="9.140625" style="369" customWidth="1"/>
    <col min="10503" max="10503" width="14.42578125" style="369" customWidth="1"/>
    <col min="10504" max="10517" width="0" style="369" hidden="1" customWidth="1"/>
    <col min="10518" max="10751" width="9.140625" style="369"/>
    <col min="10752" max="10752" width="10.140625" style="369" customWidth="1"/>
    <col min="10753" max="10753" width="7.42578125" style="369" customWidth="1"/>
    <col min="10754" max="10754" width="7" style="369" customWidth="1"/>
    <col min="10755" max="10755" width="11.28515625" style="369" customWidth="1"/>
    <col min="10756" max="10756" width="22.42578125" style="369" customWidth="1"/>
    <col min="10757" max="10757" width="39.7109375" style="369" customWidth="1"/>
    <col min="10758" max="10758" width="9.140625" style="369" customWidth="1"/>
    <col min="10759" max="10759" width="14.42578125" style="369" customWidth="1"/>
    <col min="10760" max="10773" width="0" style="369" hidden="1" customWidth="1"/>
    <col min="10774" max="11007" width="9.140625" style="369"/>
    <col min="11008" max="11008" width="10.140625" style="369" customWidth="1"/>
    <col min="11009" max="11009" width="7.42578125" style="369" customWidth="1"/>
    <col min="11010" max="11010" width="7" style="369" customWidth="1"/>
    <col min="11011" max="11011" width="11.28515625" style="369" customWidth="1"/>
    <col min="11012" max="11012" width="22.42578125" style="369" customWidth="1"/>
    <col min="11013" max="11013" width="39.7109375" style="369" customWidth="1"/>
    <col min="11014" max="11014" width="9.140625" style="369" customWidth="1"/>
    <col min="11015" max="11015" width="14.42578125" style="369" customWidth="1"/>
    <col min="11016" max="11029" width="0" style="369" hidden="1" customWidth="1"/>
    <col min="11030" max="11263" width="9.140625" style="369"/>
    <col min="11264" max="11264" width="10.140625" style="369" customWidth="1"/>
    <col min="11265" max="11265" width="7.42578125" style="369" customWidth="1"/>
    <col min="11266" max="11266" width="7" style="369" customWidth="1"/>
    <col min="11267" max="11267" width="11.28515625" style="369" customWidth="1"/>
    <col min="11268" max="11268" width="22.42578125" style="369" customWidth="1"/>
    <col min="11269" max="11269" width="39.7109375" style="369" customWidth="1"/>
    <col min="11270" max="11270" width="9.140625" style="369" customWidth="1"/>
    <col min="11271" max="11271" width="14.42578125" style="369" customWidth="1"/>
    <col min="11272" max="11285" width="0" style="369" hidden="1" customWidth="1"/>
    <col min="11286" max="11519" width="9.140625" style="369"/>
    <col min="11520" max="11520" width="10.140625" style="369" customWidth="1"/>
    <col min="11521" max="11521" width="7.42578125" style="369" customWidth="1"/>
    <col min="11522" max="11522" width="7" style="369" customWidth="1"/>
    <col min="11523" max="11523" width="11.28515625" style="369" customWidth="1"/>
    <col min="11524" max="11524" width="22.42578125" style="369" customWidth="1"/>
    <col min="11525" max="11525" width="39.7109375" style="369" customWidth="1"/>
    <col min="11526" max="11526" width="9.140625" style="369" customWidth="1"/>
    <col min="11527" max="11527" width="14.42578125" style="369" customWidth="1"/>
    <col min="11528" max="11541" width="0" style="369" hidden="1" customWidth="1"/>
    <col min="11542" max="11775" width="9.140625" style="369"/>
    <col min="11776" max="11776" width="10.140625" style="369" customWidth="1"/>
    <col min="11777" max="11777" width="7.42578125" style="369" customWidth="1"/>
    <col min="11778" max="11778" width="7" style="369" customWidth="1"/>
    <col min="11779" max="11779" width="11.28515625" style="369" customWidth="1"/>
    <col min="11780" max="11780" width="22.42578125" style="369" customWidth="1"/>
    <col min="11781" max="11781" width="39.7109375" style="369" customWidth="1"/>
    <col min="11782" max="11782" width="9.140625" style="369" customWidth="1"/>
    <col min="11783" max="11783" width="14.42578125" style="369" customWidth="1"/>
    <col min="11784" max="11797" width="0" style="369" hidden="1" customWidth="1"/>
    <col min="11798" max="12031" width="9.140625" style="369"/>
    <col min="12032" max="12032" width="10.140625" style="369" customWidth="1"/>
    <col min="12033" max="12033" width="7.42578125" style="369" customWidth="1"/>
    <col min="12034" max="12034" width="7" style="369" customWidth="1"/>
    <col min="12035" max="12035" width="11.28515625" style="369" customWidth="1"/>
    <col min="12036" max="12036" width="22.42578125" style="369" customWidth="1"/>
    <col min="12037" max="12037" width="39.7109375" style="369" customWidth="1"/>
    <col min="12038" max="12038" width="9.140625" style="369" customWidth="1"/>
    <col min="12039" max="12039" width="14.42578125" style="369" customWidth="1"/>
    <col min="12040" max="12053" width="0" style="369" hidden="1" customWidth="1"/>
    <col min="12054" max="12287" width="9.140625" style="369"/>
    <col min="12288" max="12288" width="10.140625" style="369" customWidth="1"/>
    <col min="12289" max="12289" width="7.42578125" style="369" customWidth="1"/>
    <col min="12290" max="12290" width="7" style="369" customWidth="1"/>
    <col min="12291" max="12291" width="11.28515625" style="369" customWidth="1"/>
    <col min="12292" max="12292" width="22.42578125" style="369" customWidth="1"/>
    <col min="12293" max="12293" width="39.7109375" style="369" customWidth="1"/>
    <col min="12294" max="12294" width="9.140625" style="369" customWidth="1"/>
    <col min="12295" max="12295" width="14.42578125" style="369" customWidth="1"/>
    <col min="12296" max="12309" width="0" style="369" hidden="1" customWidth="1"/>
    <col min="12310" max="12543" width="9.140625" style="369"/>
    <col min="12544" max="12544" width="10.140625" style="369" customWidth="1"/>
    <col min="12545" max="12545" width="7.42578125" style="369" customWidth="1"/>
    <col min="12546" max="12546" width="7" style="369" customWidth="1"/>
    <col min="12547" max="12547" width="11.28515625" style="369" customWidth="1"/>
    <col min="12548" max="12548" width="22.42578125" style="369" customWidth="1"/>
    <col min="12549" max="12549" width="39.7109375" style="369" customWidth="1"/>
    <col min="12550" max="12550" width="9.140625" style="369" customWidth="1"/>
    <col min="12551" max="12551" width="14.42578125" style="369" customWidth="1"/>
    <col min="12552" max="12565" width="0" style="369" hidden="1" customWidth="1"/>
    <col min="12566" max="12799" width="9.140625" style="369"/>
    <col min="12800" max="12800" width="10.140625" style="369" customWidth="1"/>
    <col min="12801" max="12801" width="7.42578125" style="369" customWidth="1"/>
    <col min="12802" max="12802" width="7" style="369" customWidth="1"/>
    <col min="12803" max="12803" width="11.28515625" style="369" customWidth="1"/>
    <col min="12804" max="12804" width="22.42578125" style="369" customWidth="1"/>
    <col min="12805" max="12805" width="39.7109375" style="369" customWidth="1"/>
    <col min="12806" max="12806" width="9.140625" style="369" customWidth="1"/>
    <col min="12807" max="12807" width="14.42578125" style="369" customWidth="1"/>
    <col min="12808" max="12821" width="0" style="369" hidden="1" customWidth="1"/>
    <col min="12822" max="13055" width="9.140625" style="369"/>
    <col min="13056" max="13056" width="10.140625" style="369" customWidth="1"/>
    <col min="13057" max="13057" width="7.42578125" style="369" customWidth="1"/>
    <col min="13058" max="13058" width="7" style="369" customWidth="1"/>
    <col min="13059" max="13059" width="11.28515625" style="369" customWidth="1"/>
    <col min="13060" max="13060" width="22.42578125" style="369" customWidth="1"/>
    <col min="13061" max="13061" width="39.7109375" style="369" customWidth="1"/>
    <col min="13062" max="13062" width="9.140625" style="369" customWidth="1"/>
    <col min="13063" max="13063" width="14.42578125" style="369" customWidth="1"/>
    <col min="13064" max="13077" width="0" style="369" hidden="1" customWidth="1"/>
    <col min="13078" max="13311" width="9.140625" style="369"/>
    <col min="13312" max="13312" width="10.140625" style="369" customWidth="1"/>
    <col min="13313" max="13313" width="7.42578125" style="369" customWidth="1"/>
    <col min="13314" max="13314" width="7" style="369" customWidth="1"/>
    <col min="13315" max="13315" width="11.28515625" style="369" customWidth="1"/>
    <col min="13316" max="13316" width="22.42578125" style="369" customWidth="1"/>
    <col min="13317" max="13317" width="39.7109375" style="369" customWidth="1"/>
    <col min="13318" max="13318" width="9.140625" style="369" customWidth="1"/>
    <col min="13319" max="13319" width="14.42578125" style="369" customWidth="1"/>
    <col min="13320" max="13333" width="0" style="369" hidden="1" customWidth="1"/>
    <col min="13334" max="13567" width="9.140625" style="369"/>
    <col min="13568" max="13568" width="10.140625" style="369" customWidth="1"/>
    <col min="13569" max="13569" width="7.42578125" style="369" customWidth="1"/>
    <col min="13570" max="13570" width="7" style="369" customWidth="1"/>
    <col min="13571" max="13571" width="11.28515625" style="369" customWidth="1"/>
    <col min="13572" max="13572" width="22.42578125" style="369" customWidth="1"/>
    <col min="13573" max="13573" width="39.7109375" style="369" customWidth="1"/>
    <col min="13574" max="13574" width="9.140625" style="369" customWidth="1"/>
    <col min="13575" max="13575" width="14.42578125" style="369" customWidth="1"/>
    <col min="13576" max="13589" width="0" style="369" hidden="1" customWidth="1"/>
    <col min="13590" max="13823" width="9.140625" style="369"/>
    <col min="13824" max="13824" width="10.140625" style="369" customWidth="1"/>
    <col min="13825" max="13825" width="7.42578125" style="369" customWidth="1"/>
    <col min="13826" max="13826" width="7" style="369" customWidth="1"/>
    <col min="13827" max="13827" width="11.28515625" style="369" customWidth="1"/>
    <col min="13828" max="13828" width="22.42578125" style="369" customWidth="1"/>
    <col min="13829" max="13829" width="39.7109375" style="369" customWidth="1"/>
    <col min="13830" max="13830" width="9.140625" style="369" customWidth="1"/>
    <col min="13831" max="13831" width="14.42578125" style="369" customWidth="1"/>
    <col min="13832" max="13845" width="0" style="369" hidden="1" customWidth="1"/>
    <col min="13846" max="14079" width="9.140625" style="369"/>
    <col min="14080" max="14080" width="10.140625" style="369" customWidth="1"/>
    <col min="14081" max="14081" width="7.42578125" style="369" customWidth="1"/>
    <col min="14082" max="14082" width="7" style="369" customWidth="1"/>
    <col min="14083" max="14083" width="11.28515625" style="369" customWidth="1"/>
    <col min="14084" max="14084" width="22.42578125" style="369" customWidth="1"/>
    <col min="14085" max="14085" width="39.7109375" style="369" customWidth="1"/>
    <col min="14086" max="14086" width="9.140625" style="369" customWidth="1"/>
    <col min="14087" max="14087" width="14.42578125" style="369" customWidth="1"/>
    <col min="14088" max="14101" width="0" style="369" hidden="1" customWidth="1"/>
    <col min="14102" max="14335" width="9.140625" style="369"/>
    <col min="14336" max="14336" width="10.140625" style="369" customWidth="1"/>
    <col min="14337" max="14337" width="7.42578125" style="369" customWidth="1"/>
    <col min="14338" max="14338" width="7" style="369" customWidth="1"/>
    <col min="14339" max="14339" width="11.28515625" style="369" customWidth="1"/>
    <col min="14340" max="14340" width="22.42578125" style="369" customWidth="1"/>
    <col min="14341" max="14341" width="39.7109375" style="369" customWidth="1"/>
    <col min="14342" max="14342" width="9.140625" style="369" customWidth="1"/>
    <col min="14343" max="14343" width="14.42578125" style="369" customWidth="1"/>
    <col min="14344" max="14357" width="0" style="369" hidden="1" customWidth="1"/>
    <col min="14358" max="14591" width="9.140625" style="369"/>
    <col min="14592" max="14592" width="10.140625" style="369" customWidth="1"/>
    <col min="14593" max="14593" width="7.42578125" style="369" customWidth="1"/>
    <col min="14594" max="14594" width="7" style="369" customWidth="1"/>
    <col min="14595" max="14595" width="11.28515625" style="369" customWidth="1"/>
    <col min="14596" max="14596" width="22.42578125" style="369" customWidth="1"/>
    <col min="14597" max="14597" width="39.7109375" style="369" customWidth="1"/>
    <col min="14598" max="14598" width="9.140625" style="369" customWidth="1"/>
    <col min="14599" max="14599" width="14.42578125" style="369" customWidth="1"/>
    <col min="14600" max="14613" width="0" style="369" hidden="1" customWidth="1"/>
    <col min="14614" max="14847" width="9.140625" style="369"/>
    <col min="14848" max="14848" width="10.140625" style="369" customWidth="1"/>
    <col min="14849" max="14849" width="7.42578125" style="369" customWidth="1"/>
    <col min="14850" max="14850" width="7" style="369" customWidth="1"/>
    <col min="14851" max="14851" width="11.28515625" style="369" customWidth="1"/>
    <col min="14852" max="14852" width="22.42578125" style="369" customWidth="1"/>
    <col min="14853" max="14853" width="39.7109375" style="369" customWidth="1"/>
    <col min="14854" max="14854" width="9.140625" style="369" customWidth="1"/>
    <col min="14855" max="14855" width="14.42578125" style="369" customWidth="1"/>
    <col min="14856" max="14869" width="0" style="369" hidden="1" customWidth="1"/>
    <col min="14870" max="15103" width="9.140625" style="369"/>
    <col min="15104" max="15104" width="10.140625" style="369" customWidth="1"/>
    <col min="15105" max="15105" width="7.42578125" style="369" customWidth="1"/>
    <col min="15106" max="15106" width="7" style="369" customWidth="1"/>
    <col min="15107" max="15107" width="11.28515625" style="369" customWidth="1"/>
    <col min="15108" max="15108" width="22.42578125" style="369" customWidth="1"/>
    <col min="15109" max="15109" width="39.7109375" style="369" customWidth="1"/>
    <col min="15110" max="15110" width="9.140625" style="369" customWidth="1"/>
    <col min="15111" max="15111" width="14.42578125" style="369" customWidth="1"/>
    <col min="15112" max="15125" width="0" style="369" hidden="1" customWidth="1"/>
    <col min="15126" max="15359" width="9.140625" style="369"/>
    <col min="15360" max="15360" width="10.140625" style="369" customWidth="1"/>
    <col min="15361" max="15361" width="7.42578125" style="369" customWidth="1"/>
    <col min="15362" max="15362" width="7" style="369" customWidth="1"/>
    <col min="15363" max="15363" width="11.28515625" style="369" customWidth="1"/>
    <col min="15364" max="15364" width="22.42578125" style="369" customWidth="1"/>
    <col min="15365" max="15365" width="39.7109375" style="369" customWidth="1"/>
    <col min="15366" max="15366" width="9.140625" style="369" customWidth="1"/>
    <col min="15367" max="15367" width="14.42578125" style="369" customWidth="1"/>
    <col min="15368" max="15381" width="0" style="369" hidden="1" customWidth="1"/>
    <col min="15382" max="15615" width="9.140625" style="369"/>
    <col min="15616" max="15616" width="10.140625" style="369" customWidth="1"/>
    <col min="15617" max="15617" width="7.42578125" style="369" customWidth="1"/>
    <col min="15618" max="15618" width="7" style="369" customWidth="1"/>
    <col min="15619" max="15619" width="11.28515625" style="369" customWidth="1"/>
    <col min="15620" max="15620" width="22.42578125" style="369" customWidth="1"/>
    <col min="15621" max="15621" width="39.7109375" style="369" customWidth="1"/>
    <col min="15622" max="15622" width="9.140625" style="369" customWidth="1"/>
    <col min="15623" max="15623" width="14.42578125" style="369" customWidth="1"/>
    <col min="15624" max="15637" width="0" style="369" hidden="1" customWidth="1"/>
    <col min="15638" max="15871" width="9.140625" style="369"/>
    <col min="15872" max="15872" width="10.140625" style="369" customWidth="1"/>
    <col min="15873" max="15873" width="7.42578125" style="369" customWidth="1"/>
    <col min="15874" max="15874" width="7" style="369" customWidth="1"/>
    <col min="15875" max="15875" width="11.28515625" style="369" customWidth="1"/>
    <col min="15876" max="15876" width="22.42578125" style="369" customWidth="1"/>
    <col min="15877" max="15877" width="39.7109375" style="369" customWidth="1"/>
    <col min="15878" max="15878" width="9.140625" style="369" customWidth="1"/>
    <col min="15879" max="15879" width="14.42578125" style="369" customWidth="1"/>
    <col min="15880" max="15893" width="0" style="369" hidden="1" customWidth="1"/>
    <col min="15894" max="16127" width="9.140625" style="369"/>
    <col min="16128" max="16128" width="10.140625" style="369" customWidth="1"/>
    <col min="16129" max="16129" width="7.42578125" style="369" customWidth="1"/>
    <col min="16130" max="16130" width="7" style="369" customWidth="1"/>
    <col min="16131" max="16131" width="11.28515625" style="369" customWidth="1"/>
    <col min="16132" max="16132" width="22.42578125" style="369" customWidth="1"/>
    <col min="16133" max="16133" width="39.7109375" style="369" customWidth="1"/>
    <col min="16134" max="16134" width="9.140625" style="369" customWidth="1"/>
    <col min="16135" max="16135" width="14.42578125" style="369" customWidth="1"/>
    <col min="16136" max="16149" width="0" style="369" hidden="1" customWidth="1"/>
    <col min="16150" max="16384" width="9.140625" style="369"/>
  </cols>
  <sheetData>
    <row r="1" spans="1:9" ht="18" customHeight="1" x14ac:dyDescent="0.25">
      <c r="A1" s="929" t="s">
        <v>2043</v>
      </c>
      <c r="B1" s="929"/>
      <c r="C1" s="929"/>
      <c r="D1" s="929"/>
      <c r="E1" s="929"/>
    </row>
    <row r="2" spans="1:9" ht="13.5" customHeight="1" thickBot="1" x14ac:dyDescent="0.3"/>
    <row r="3" spans="1:9" ht="13.5" customHeight="1" x14ac:dyDescent="0.25">
      <c r="A3" s="930" t="s">
        <v>731</v>
      </c>
      <c r="B3" s="931"/>
      <c r="C3" s="932" t="str">
        <f>IF(playername&lt;&gt;"",playername,"")</f>
        <v/>
      </c>
      <c r="D3" s="932"/>
      <c r="E3" s="441" t="s">
        <v>2044</v>
      </c>
      <c r="F3" s="530" t="str">
        <f>IF(charname&lt;&gt;"",charname,"")</f>
        <v/>
      </c>
    </row>
    <row r="4" spans="1:9" ht="13.5" customHeight="1" x14ac:dyDescent="0.25">
      <c r="A4" s="925" t="s">
        <v>733</v>
      </c>
      <c r="B4" s="926"/>
      <c r="C4" s="927" t="str">
        <f>IF(membernumber&lt;&gt;"",membernumber,"")</f>
        <v/>
      </c>
      <c r="D4" s="927"/>
      <c r="E4" s="444" t="s">
        <v>735</v>
      </c>
      <c r="F4" s="531" t="str">
        <f>IF(priorsec&lt;&gt;"",priorsec,"")</f>
        <v/>
      </c>
    </row>
    <row r="5" spans="1:9" ht="13.5" customHeight="1" x14ac:dyDescent="0.25">
      <c r="A5" s="925" t="s">
        <v>2045</v>
      </c>
      <c r="B5" s="926"/>
      <c r="C5" s="927" t="str">
        <f>IF(stname&lt;&gt;"",CONCATENATE(stname,IF(stemail&lt;&gt;"",CONCATENATE(" (Email: ",stemail,")"),"")),"")</f>
        <v/>
      </c>
      <c r="D5" s="927"/>
      <c r="E5" s="927"/>
      <c r="F5" s="928"/>
    </row>
    <row r="6" spans="1:9" ht="13.5" customHeight="1" thickBot="1" x14ac:dyDescent="0.3">
      <c r="A6" s="913" t="s">
        <v>737</v>
      </c>
      <c r="B6" s="914"/>
      <c r="C6" s="915" t="str">
        <f>IF(coordinatorname&lt;&gt;"",CONCATENATE(coordinatorname,IF(cemail&lt;&gt;"",CONCATENATE(" (Email: ",cemail,")"),"")),"")</f>
        <v/>
      </c>
      <c r="D6" s="915"/>
      <c r="E6" s="915"/>
      <c r="F6" s="916"/>
    </row>
    <row r="7" spans="1:9" ht="13.5" customHeight="1" thickBot="1" x14ac:dyDescent="0.3">
      <c r="A7" s="4"/>
      <c r="B7" s="4"/>
      <c r="C7" s="471"/>
      <c r="D7" s="471"/>
      <c r="E7" s="471"/>
      <c r="F7" s="471"/>
    </row>
    <row r="8" spans="1:9" ht="13.5" customHeight="1" x14ac:dyDescent="0.25">
      <c r="A8" s="920" t="s">
        <v>2085</v>
      </c>
      <c r="B8" s="921"/>
      <c r="C8" s="921"/>
      <c r="D8" s="921"/>
      <c r="E8" s="921"/>
      <c r="F8" s="922"/>
    </row>
    <row r="9" spans="1:9" ht="13.5" customHeight="1" thickBot="1" x14ac:dyDescent="0.3">
      <c r="A9" s="923" t="s">
        <v>2086</v>
      </c>
      <c r="B9" s="924"/>
      <c r="C9" s="924"/>
      <c r="D9" s="532">
        <v>42430</v>
      </c>
      <c r="E9" s="433" t="s">
        <v>2087</v>
      </c>
      <c r="F9" s="593"/>
    </row>
    <row r="10" spans="1:9" ht="13.5" customHeight="1" thickBot="1" x14ac:dyDescent="0.3"/>
    <row r="11" spans="1:9" ht="13.5" customHeight="1" thickBot="1" x14ac:dyDescent="0.3">
      <c r="A11" s="434" t="s">
        <v>2046</v>
      </c>
      <c r="B11" s="434" t="s">
        <v>2047</v>
      </c>
      <c r="C11" s="436">
        <f>SUM(B23:B503)</f>
        <v>100</v>
      </c>
      <c r="D11" s="435" t="s">
        <v>2048</v>
      </c>
      <c r="E11" s="370">
        <f>totalxpearned-SUM(C23:C503)</f>
        <v>100</v>
      </c>
      <c r="F11" s="471"/>
    </row>
    <row r="12" spans="1:9" ht="13.5" customHeight="1" thickBot="1" x14ac:dyDescent="0.3">
      <c r="A12" s="371" t="s">
        <v>2049</v>
      </c>
      <c r="B12" s="372" t="s">
        <v>2050</v>
      </c>
      <c r="C12" s="371" t="s">
        <v>2051</v>
      </c>
      <c r="D12" s="372" t="s">
        <v>2052</v>
      </c>
      <c r="E12" s="371" t="s">
        <v>2053</v>
      </c>
      <c r="F12" s="373" t="s">
        <v>1346</v>
      </c>
      <c r="I12" s="471" t="s">
        <v>757</v>
      </c>
    </row>
    <row r="13" spans="1:9" ht="13.5" customHeight="1" x14ac:dyDescent="0.25">
      <c r="A13" s="917" t="s">
        <v>2054</v>
      </c>
      <c r="B13" s="917"/>
      <c r="C13" s="917"/>
      <c r="D13" s="917"/>
      <c r="E13" s="374" t="s">
        <v>2055</v>
      </c>
      <c r="F13" s="374"/>
      <c r="I13" s="471" t="s">
        <v>1100</v>
      </c>
    </row>
    <row r="14" spans="1:9" ht="13.5" customHeight="1" x14ac:dyDescent="0.25">
      <c r="A14" s="918"/>
      <c r="B14" s="918"/>
      <c r="C14" s="918"/>
      <c r="D14" s="918"/>
      <c r="E14" s="444" t="s">
        <v>2056</v>
      </c>
      <c r="F14" s="444"/>
      <c r="I14" s="471" t="s">
        <v>1102</v>
      </c>
    </row>
    <row r="15" spans="1:9" ht="13.5" customHeight="1" x14ac:dyDescent="0.25">
      <c r="A15" s="918"/>
      <c r="B15" s="918"/>
      <c r="C15" s="918"/>
      <c r="D15" s="918"/>
      <c r="E15" s="444" t="s">
        <v>2057</v>
      </c>
      <c r="F15" s="444"/>
      <c r="I15" s="471" t="s">
        <v>750</v>
      </c>
    </row>
    <row r="16" spans="1:9" ht="13.5" customHeight="1" x14ac:dyDescent="0.25">
      <c r="A16" s="918"/>
      <c r="B16" s="918"/>
      <c r="C16" s="918"/>
      <c r="D16" s="918"/>
      <c r="E16" s="444" t="s">
        <v>2058</v>
      </c>
      <c r="F16" s="444"/>
      <c r="I16" s="471" t="s">
        <v>1104</v>
      </c>
    </row>
    <row r="17" spans="1:22" ht="13.5" customHeight="1" x14ac:dyDescent="0.25">
      <c r="A17" s="918"/>
      <c r="B17" s="918"/>
      <c r="C17" s="918"/>
      <c r="D17" s="918"/>
      <c r="E17" s="444" t="s">
        <v>2059</v>
      </c>
      <c r="F17" s="444"/>
      <c r="I17" s="471" t="s">
        <v>1105</v>
      </c>
    </row>
    <row r="18" spans="1:22" ht="13.5" customHeight="1" x14ac:dyDescent="0.25">
      <c r="A18" s="918"/>
      <c r="B18" s="918"/>
      <c r="C18" s="918"/>
      <c r="D18" s="918"/>
      <c r="E18" s="444" t="s">
        <v>2060</v>
      </c>
      <c r="F18" s="444"/>
      <c r="I18" s="471" t="s">
        <v>178</v>
      </c>
    </row>
    <row r="19" spans="1:22" ht="13.5" customHeight="1" x14ac:dyDescent="0.25">
      <c r="A19" s="918"/>
      <c r="B19" s="918"/>
      <c r="C19" s="918"/>
      <c r="D19" s="918"/>
      <c r="E19" s="444" t="s">
        <v>2061</v>
      </c>
      <c r="F19" s="444"/>
      <c r="I19" s="471" t="s">
        <v>1106</v>
      </c>
    </row>
    <row r="20" spans="1:22" ht="13.5" customHeight="1" x14ac:dyDescent="0.25">
      <c r="A20" s="918"/>
      <c r="B20" s="918"/>
      <c r="C20" s="918"/>
      <c r="D20" s="918"/>
      <c r="E20" s="444" t="s">
        <v>2062</v>
      </c>
      <c r="F20" s="444"/>
      <c r="I20" s="471" t="s">
        <v>1107</v>
      </c>
    </row>
    <row r="21" spans="1:22" ht="13.5" customHeight="1" x14ac:dyDescent="0.25">
      <c r="A21" s="918"/>
      <c r="B21" s="918"/>
      <c r="C21" s="918"/>
      <c r="D21" s="918"/>
      <c r="E21" s="444" t="s">
        <v>2063</v>
      </c>
      <c r="F21" s="444"/>
      <c r="I21" s="471" t="s">
        <v>1108</v>
      </c>
    </row>
    <row r="22" spans="1:22" ht="13.5" customHeight="1" x14ac:dyDescent="0.25">
      <c r="A22" s="918"/>
      <c r="B22" s="918"/>
      <c r="C22" s="918"/>
      <c r="D22" s="918"/>
      <c r="E22" s="444" t="s">
        <v>2082</v>
      </c>
      <c r="F22" s="444" t="s">
        <v>2083</v>
      </c>
      <c r="I22" s="471" t="s">
        <v>778</v>
      </c>
      <c r="J22" s="26" t="s">
        <v>2064</v>
      </c>
      <c r="K22" s="5" t="s">
        <v>2065</v>
      </c>
      <c r="L22" s="5" t="s">
        <v>2066</v>
      </c>
      <c r="M22" s="5" t="s">
        <v>2067</v>
      </c>
      <c r="N22" s="5" t="s">
        <v>2068</v>
      </c>
      <c r="O22" s="5" t="s">
        <v>2069</v>
      </c>
      <c r="P22" s="5" t="s">
        <v>2070</v>
      </c>
      <c r="Q22" s="5" t="s">
        <v>2071</v>
      </c>
      <c r="R22" s="5" t="s">
        <v>2072</v>
      </c>
      <c r="S22" s="5" t="s">
        <v>2073</v>
      </c>
      <c r="T22" s="5" t="s">
        <v>2074</v>
      </c>
      <c r="U22" s="5" t="s">
        <v>2075</v>
      </c>
      <c r="V22" s="369" t="s">
        <v>2136</v>
      </c>
    </row>
    <row r="23" spans="1:22" ht="13.5" customHeight="1" x14ac:dyDescent="0.25">
      <c r="A23" s="376" t="s">
        <v>2054</v>
      </c>
      <c r="B23" s="443">
        <f>IF(priorsec="Primary",150,100)</f>
        <v>100</v>
      </c>
      <c r="C23" s="443"/>
      <c r="D23" s="443">
        <f>B23-C23</f>
        <v>100</v>
      </c>
      <c r="E23" s="444" t="s">
        <v>2078</v>
      </c>
      <c r="F23" s="444" t="s">
        <v>2079</v>
      </c>
      <c r="I23" s="471" t="s">
        <v>1109</v>
      </c>
    </row>
    <row r="24" spans="1:22" ht="13.5" customHeight="1" x14ac:dyDescent="0.25">
      <c r="A24" s="376" t="s">
        <v>2054</v>
      </c>
      <c r="B24" s="595"/>
      <c r="C24" s="443"/>
      <c r="D24" s="443">
        <f>B24-C24+D23</f>
        <v>100</v>
      </c>
      <c r="E24" s="444" t="s">
        <v>2076</v>
      </c>
      <c r="F24" s="444" t="s">
        <v>2080</v>
      </c>
      <c r="I24" s="369" t="s">
        <v>2084</v>
      </c>
    </row>
    <row r="25" spans="1:22" ht="13.5" customHeight="1" x14ac:dyDescent="0.25">
      <c r="A25" s="376" t="s">
        <v>2054</v>
      </c>
      <c r="B25" s="595"/>
      <c r="C25" s="443"/>
      <c r="D25" s="443">
        <f>B25-C25+D24</f>
        <v>100</v>
      </c>
      <c r="E25" s="444" t="s">
        <v>2077</v>
      </c>
      <c r="F25" s="444" t="s">
        <v>2081</v>
      </c>
    </row>
    <row r="26" spans="1:22" ht="13.5" customHeight="1" x14ac:dyDescent="0.25">
      <c r="A26" s="594"/>
      <c r="B26" s="377"/>
      <c r="C26" s="377"/>
      <c r="D26" s="443">
        <f>B26-C26+D25</f>
        <v>100</v>
      </c>
      <c r="E26" s="375"/>
      <c r="F26" s="375"/>
      <c r="J26" s="26">
        <f>IF(E26="Attributes",C26,0)</f>
        <v>0</v>
      </c>
      <c r="K26" s="5">
        <f>IF(E26="Skills",C26,0)</f>
        <v>0</v>
      </c>
      <c r="L26" s="5">
        <f>IF(E26="Specialization",C26,0)</f>
        <v>0</v>
      </c>
      <c r="M26" s="5">
        <f>IF(E26="Blood Potency",C26,0)</f>
        <v>0</v>
      </c>
      <c r="N26" s="5">
        <f>IF(E26="Merits",C26,0)</f>
        <v>0</v>
      </c>
      <c r="O26" s="5">
        <f>IF(E26="Lost Merits",C26,0)</f>
        <v>0</v>
      </c>
      <c r="P26" s="5">
        <f>IF(E26="Disciplines",C26,0)</f>
        <v>0</v>
      </c>
      <c r="Q26" s="5">
        <f>IF(E26="Rituals",C26,0)</f>
        <v>0</v>
      </c>
      <c r="R26" s="5">
        <f>IF(E26="Devotions",C26,0)</f>
        <v>0</v>
      </c>
      <c r="S26" s="5">
        <f>IF(E26="Willpower",C26,0)</f>
        <v>0</v>
      </c>
      <c r="T26" s="5">
        <f>IF(E26="Humanity",C26,0)</f>
        <v>0</v>
      </c>
      <c r="U26" s="5">
        <f>IF(E26="Oaths",C26,0)</f>
        <v>0</v>
      </c>
      <c r="V26" s="5">
        <f t="shared" ref="V26:V89" si="0">IF(E26="Catch Up XP",C26,0)</f>
        <v>0</v>
      </c>
    </row>
    <row r="27" spans="1:22" ht="13.5" customHeight="1" x14ac:dyDescent="0.25">
      <c r="A27" s="594"/>
      <c r="B27" s="377"/>
      <c r="C27" s="377"/>
      <c r="D27" s="443">
        <f t="shared" ref="D27:D89" si="1">B27-C27+D26</f>
        <v>100</v>
      </c>
      <c r="E27" s="580"/>
      <c r="F27" s="580"/>
      <c r="J27" s="26">
        <f t="shared" ref="J27:J90" si="2">IF(E27="Attributes",C27,0)</f>
        <v>0</v>
      </c>
      <c r="K27" s="5">
        <f t="shared" ref="K27:K90" si="3">IF(E27="Skills",C27,0)</f>
        <v>0</v>
      </c>
      <c r="L27" s="5">
        <f t="shared" ref="L27:L90" si="4">IF(E27="Specialization",C27,0)</f>
        <v>0</v>
      </c>
      <c r="M27" s="5">
        <f t="shared" ref="M27:M90" si="5">IF(E27="Blood Potency",C27,0)</f>
        <v>0</v>
      </c>
      <c r="N27" s="5">
        <f t="shared" ref="N27:N90" si="6">IF(E27="Merits",C27,0)</f>
        <v>0</v>
      </c>
      <c r="O27" s="5">
        <f t="shared" ref="O27:O90" si="7">IF(E27="Lost Merits",C27,0)</f>
        <v>0</v>
      </c>
      <c r="P27" s="5">
        <f t="shared" ref="P27:P90" si="8">IF(E27="Disciplines",C27,0)</f>
        <v>0</v>
      </c>
      <c r="Q27" s="5">
        <f t="shared" ref="Q27:Q90" si="9">IF(E27="Rituals",C27,0)</f>
        <v>0</v>
      </c>
      <c r="R27" s="5">
        <f t="shared" ref="R27:R90" si="10">IF(E27="Devotions",C27,0)</f>
        <v>0</v>
      </c>
      <c r="S27" s="5">
        <f t="shared" ref="S27:S90" si="11">IF(E27="Willpower",C27,0)</f>
        <v>0</v>
      </c>
      <c r="T27" s="5">
        <f t="shared" ref="T27:T90" si="12">IF(E27="Humanity",C27,0)</f>
        <v>0</v>
      </c>
      <c r="U27" s="5">
        <f t="shared" ref="U27:U90" si="13">IF(E27="Oaths",C27,0)</f>
        <v>0</v>
      </c>
      <c r="V27" s="5">
        <f t="shared" si="0"/>
        <v>0</v>
      </c>
    </row>
    <row r="28" spans="1:22" ht="13.5" customHeight="1" x14ac:dyDescent="0.25">
      <c r="A28" s="594"/>
      <c r="B28" s="377"/>
      <c r="C28" s="377"/>
      <c r="D28" s="443">
        <f t="shared" si="1"/>
        <v>100</v>
      </c>
      <c r="E28" s="580"/>
      <c r="F28" s="580"/>
      <c r="J28" s="26">
        <f t="shared" si="2"/>
        <v>0</v>
      </c>
      <c r="K28" s="5">
        <f t="shared" si="3"/>
        <v>0</v>
      </c>
      <c r="L28" s="5">
        <f t="shared" si="4"/>
        <v>0</v>
      </c>
      <c r="M28" s="5">
        <f t="shared" si="5"/>
        <v>0</v>
      </c>
      <c r="N28" s="5">
        <f t="shared" si="6"/>
        <v>0</v>
      </c>
      <c r="O28" s="5">
        <f t="shared" si="7"/>
        <v>0</v>
      </c>
      <c r="P28" s="5">
        <f t="shared" si="8"/>
        <v>0</v>
      </c>
      <c r="Q28" s="5">
        <f t="shared" si="9"/>
        <v>0</v>
      </c>
      <c r="R28" s="5">
        <f t="shared" si="10"/>
        <v>0</v>
      </c>
      <c r="S28" s="5">
        <f t="shared" si="11"/>
        <v>0</v>
      </c>
      <c r="T28" s="5">
        <f t="shared" si="12"/>
        <v>0</v>
      </c>
      <c r="U28" s="5">
        <f t="shared" si="13"/>
        <v>0</v>
      </c>
      <c r="V28" s="5">
        <f t="shared" si="0"/>
        <v>0</v>
      </c>
    </row>
    <row r="29" spans="1:22" ht="13.5" customHeight="1" x14ac:dyDescent="0.25">
      <c r="A29" s="594"/>
      <c r="B29" s="377"/>
      <c r="C29" s="377"/>
      <c r="D29" s="443">
        <f t="shared" si="1"/>
        <v>100</v>
      </c>
      <c r="E29" s="580"/>
      <c r="F29" s="580"/>
      <c r="J29" s="26">
        <f t="shared" si="2"/>
        <v>0</v>
      </c>
      <c r="K29" s="5">
        <f t="shared" si="3"/>
        <v>0</v>
      </c>
      <c r="L29" s="5">
        <f t="shared" si="4"/>
        <v>0</v>
      </c>
      <c r="M29" s="5">
        <f t="shared" si="5"/>
        <v>0</v>
      </c>
      <c r="N29" s="5">
        <f t="shared" si="6"/>
        <v>0</v>
      </c>
      <c r="O29" s="5">
        <f t="shared" si="7"/>
        <v>0</v>
      </c>
      <c r="P29" s="5">
        <f t="shared" si="8"/>
        <v>0</v>
      </c>
      <c r="Q29" s="5">
        <f t="shared" si="9"/>
        <v>0</v>
      </c>
      <c r="R29" s="5">
        <f t="shared" si="10"/>
        <v>0</v>
      </c>
      <c r="S29" s="5">
        <f t="shared" si="11"/>
        <v>0</v>
      </c>
      <c r="T29" s="5">
        <f t="shared" si="12"/>
        <v>0</v>
      </c>
      <c r="U29" s="5">
        <f t="shared" si="13"/>
        <v>0</v>
      </c>
      <c r="V29" s="5">
        <f t="shared" si="0"/>
        <v>0</v>
      </c>
    </row>
    <row r="30" spans="1:22" ht="13.5" customHeight="1" x14ac:dyDescent="0.25">
      <c r="A30" s="594"/>
      <c r="B30" s="377"/>
      <c r="C30" s="377"/>
      <c r="D30" s="443">
        <f t="shared" si="1"/>
        <v>100</v>
      </c>
      <c r="E30" s="580"/>
      <c r="F30" s="580"/>
      <c r="J30" s="26">
        <f t="shared" si="2"/>
        <v>0</v>
      </c>
      <c r="K30" s="5">
        <f t="shared" si="3"/>
        <v>0</v>
      </c>
      <c r="L30" s="5">
        <f t="shared" si="4"/>
        <v>0</v>
      </c>
      <c r="M30" s="5">
        <f t="shared" si="5"/>
        <v>0</v>
      </c>
      <c r="N30" s="5">
        <f t="shared" si="6"/>
        <v>0</v>
      </c>
      <c r="O30" s="5">
        <f t="shared" si="7"/>
        <v>0</v>
      </c>
      <c r="P30" s="5">
        <f t="shared" si="8"/>
        <v>0</v>
      </c>
      <c r="Q30" s="5">
        <f t="shared" si="9"/>
        <v>0</v>
      </c>
      <c r="R30" s="5">
        <f t="shared" si="10"/>
        <v>0</v>
      </c>
      <c r="S30" s="5">
        <f t="shared" si="11"/>
        <v>0</v>
      </c>
      <c r="T30" s="5">
        <f t="shared" si="12"/>
        <v>0</v>
      </c>
      <c r="U30" s="5">
        <f t="shared" si="13"/>
        <v>0</v>
      </c>
      <c r="V30" s="5">
        <f t="shared" si="0"/>
        <v>0</v>
      </c>
    </row>
    <row r="31" spans="1:22" ht="13.5" customHeight="1" x14ac:dyDescent="0.25">
      <c r="A31" s="594"/>
      <c r="B31" s="377"/>
      <c r="C31" s="377"/>
      <c r="D31" s="443">
        <f t="shared" si="1"/>
        <v>100</v>
      </c>
      <c r="E31" s="580"/>
      <c r="F31" s="580"/>
      <c r="J31" s="26">
        <f t="shared" si="2"/>
        <v>0</v>
      </c>
      <c r="K31" s="5">
        <f t="shared" si="3"/>
        <v>0</v>
      </c>
      <c r="L31" s="5">
        <f t="shared" si="4"/>
        <v>0</v>
      </c>
      <c r="M31" s="5">
        <f t="shared" si="5"/>
        <v>0</v>
      </c>
      <c r="N31" s="5">
        <f t="shared" si="6"/>
        <v>0</v>
      </c>
      <c r="O31" s="5">
        <f t="shared" si="7"/>
        <v>0</v>
      </c>
      <c r="P31" s="5">
        <f t="shared" si="8"/>
        <v>0</v>
      </c>
      <c r="Q31" s="5">
        <f t="shared" si="9"/>
        <v>0</v>
      </c>
      <c r="R31" s="5">
        <f t="shared" si="10"/>
        <v>0</v>
      </c>
      <c r="S31" s="5">
        <f t="shared" si="11"/>
        <v>0</v>
      </c>
      <c r="T31" s="5">
        <f t="shared" si="12"/>
        <v>0</v>
      </c>
      <c r="U31" s="5">
        <f t="shared" si="13"/>
        <v>0</v>
      </c>
      <c r="V31" s="5">
        <f t="shared" si="0"/>
        <v>0</v>
      </c>
    </row>
    <row r="32" spans="1:22" ht="13.5" customHeight="1" x14ac:dyDescent="0.25">
      <c r="A32" s="594"/>
      <c r="B32" s="377"/>
      <c r="C32" s="377"/>
      <c r="D32" s="443">
        <f t="shared" si="1"/>
        <v>100</v>
      </c>
      <c r="E32" s="580"/>
      <c r="F32" s="580"/>
      <c r="J32" s="26">
        <f t="shared" si="2"/>
        <v>0</v>
      </c>
      <c r="K32" s="5">
        <f t="shared" si="3"/>
        <v>0</v>
      </c>
      <c r="L32" s="5">
        <f t="shared" si="4"/>
        <v>0</v>
      </c>
      <c r="M32" s="5">
        <f t="shared" si="5"/>
        <v>0</v>
      </c>
      <c r="N32" s="5">
        <f t="shared" si="6"/>
        <v>0</v>
      </c>
      <c r="O32" s="5">
        <f t="shared" si="7"/>
        <v>0</v>
      </c>
      <c r="P32" s="5">
        <f t="shared" si="8"/>
        <v>0</v>
      </c>
      <c r="Q32" s="5">
        <f t="shared" si="9"/>
        <v>0</v>
      </c>
      <c r="R32" s="5">
        <f t="shared" si="10"/>
        <v>0</v>
      </c>
      <c r="S32" s="5">
        <f t="shared" si="11"/>
        <v>0</v>
      </c>
      <c r="T32" s="5">
        <f t="shared" si="12"/>
        <v>0</v>
      </c>
      <c r="U32" s="5">
        <f t="shared" si="13"/>
        <v>0</v>
      </c>
      <c r="V32" s="5">
        <f t="shared" si="0"/>
        <v>0</v>
      </c>
    </row>
    <row r="33" spans="1:22" ht="13.5" customHeight="1" x14ac:dyDescent="0.25">
      <c r="A33" s="594"/>
      <c r="B33" s="377"/>
      <c r="C33" s="377"/>
      <c r="D33" s="443">
        <f t="shared" si="1"/>
        <v>100</v>
      </c>
      <c r="E33" s="580"/>
      <c r="F33" s="580"/>
      <c r="J33" s="26">
        <f t="shared" si="2"/>
        <v>0</v>
      </c>
      <c r="K33" s="5">
        <f t="shared" si="3"/>
        <v>0</v>
      </c>
      <c r="L33" s="5">
        <f t="shared" si="4"/>
        <v>0</v>
      </c>
      <c r="M33" s="5">
        <f t="shared" si="5"/>
        <v>0</v>
      </c>
      <c r="N33" s="5">
        <f t="shared" si="6"/>
        <v>0</v>
      </c>
      <c r="O33" s="5">
        <f t="shared" si="7"/>
        <v>0</v>
      </c>
      <c r="P33" s="5">
        <f t="shared" si="8"/>
        <v>0</v>
      </c>
      <c r="Q33" s="5">
        <f t="shared" si="9"/>
        <v>0</v>
      </c>
      <c r="R33" s="5">
        <f t="shared" si="10"/>
        <v>0</v>
      </c>
      <c r="S33" s="5">
        <f t="shared" si="11"/>
        <v>0</v>
      </c>
      <c r="T33" s="5">
        <f t="shared" si="12"/>
        <v>0</v>
      </c>
      <c r="U33" s="5">
        <f t="shared" si="13"/>
        <v>0</v>
      </c>
      <c r="V33" s="5">
        <f t="shared" si="0"/>
        <v>0</v>
      </c>
    </row>
    <row r="34" spans="1:22" ht="13.5" customHeight="1" x14ac:dyDescent="0.25">
      <c r="A34" s="594"/>
      <c r="B34" s="377"/>
      <c r="C34" s="377"/>
      <c r="D34" s="443">
        <f t="shared" si="1"/>
        <v>100</v>
      </c>
      <c r="E34" s="580"/>
      <c r="F34" s="580"/>
      <c r="J34" s="26">
        <f t="shared" si="2"/>
        <v>0</v>
      </c>
      <c r="K34" s="5">
        <f t="shared" si="3"/>
        <v>0</v>
      </c>
      <c r="L34" s="5">
        <f t="shared" si="4"/>
        <v>0</v>
      </c>
      <c r="M34" s="5">
        <f t="shared" si="5"/>
        <v>0</v>
      </c>
      <c r="N34" s="5">
        <f t="shared" si="6"/>
        <v>0</v>
      </c>
      <c r="O34" s="5">
        <f t="shared" si="7"/>
        <v>0</v>
      </c>
      <c r="P34" s="5">
        <f t="shared" si="8"/>
        <v>0</v>
      </c>
      <c r="Q34" s="5">
        <f t="shared" si="9"/>
        <v>0</v>
      </c>
      <c r="R34" s="5">
        <f t="shared" si="10"/>
        <v>0</v>
      </c>
      <c r="S34" s="5">
        <f t="shared" si="11"/>
        <v>0</v>
      </c>
      <c r="T34" s="5">
        <f t="shared" si="12"/>
        <v>0</v>
      </c>
      <c r="U34" s="5">
        <f t="shared" si="13"/>
        <v>0</v>
      </c>
      <c r="V34" s="5">
        <f t="shared" si="0"/>
        <v>0</v>
      </c>
    </row>
    <row r="35" spans="1:22" ht="13.5" customHeight="1" x14ac:dyDescent="0.25">
      <c r="A35" s="594"/>
      <c r="B35" s="377"/>
      <c r="C35" s="377"/>
      <c r="D35" s="443">
        <f t="shared" si="1"/>
        <v>100</v>
      </c>
      <c r="E35" s="580"/>
      <c r="F35" s="580"/>
      <c r="J35" s="26">
        <f t="shared" si="2"/>
        <v>0</v>
      </c>
      <c r="K35" s="5">
        <f t="shared" si="3"/>
        <v>0</v>
      </c>
      <c r="L35" s="5">
        <f t="shared" si="4"/>
        <v>0</v>
      </c>
      <c r="M35" s="5">
        <f t="shared" si="5"/>
        <v>0</v>
      </c>
      <c r="N35" s="5">
        <f t="shared" si="6"/>
        <v>0</v>
      </c>
      <c r="O35" s="5">
        <f t="shared" si="7"/>
        <v>0</v>
      </c>
      <c r="P35" s="5">
        <f t="shared" si="8"/>
        <v>0</v>
      </c>
      <c r="Q35" s="5">
        <f t="shared" si="9"/>
        <v>0</v>
      </c>
      <c r="R35" s="5">
        <f t="shared" si="10"/>
        <v>0</v>
      </c>
      <c r="S35" s="5">
        <f t="shared" si="11"/>
        <v>0</v>
      </c>
      <c r="T35" s="5">
        <f t="shared" si="12"/>
        <v>0</v>
      </c>
      <c r="U35" s="5">
        <f t="shared" si="13"/>
        <v>0</v>
      </c>
      <c r="V35" s="5">
        <f t="shared" si="0"/>
        <v>0</v>
      </c>
    </row>
    <row r="36" spans="1:22" ht="13.5" customHeight="1" x14ac:dyDescent="0.25">
      <c r="A36" s="594"/>
      <c r="B36" s="377"/>
      <c r="C36" s="377"/>
      <c r="D36" s="443">
        <f t="shared" si="1"/>
        <v>100</v>
      </c>
      <c r="E36" s="580"/>
      <c r="F36" s="580"/>
      <c r="J36" s="26">
        <f t="shared" si="2"/>
        <v>0</v>
      </c>
      <c r="K36" s="5">
        <f t="shared" si="3"/>
        <v>0</v>
      </c>
      <c r="L36" s="5">
        <f t="shared" si="4"/>
        <v>0</v>
      </c>
      <c r="M36" s="5">
        <f t="shared" si="5"/>
        <v>0</v>
      </c>
      <c r="N36" s="5">
        <f t="shared" si="6"/>
        <v>0</v>
      </c>
      <c r="O36" s="5">
        <f t="shared" si="7"/>
        <v>0</v>
      </c>
      <c r="P36" s="5">
        <f t="shared" si="8"/>
        <v>0</v>
      </c>
      <c r="Q36" s="5">
        <f t="shared" si="9"/>
        <v>0</v>
      </c>
      <c r="R36" s="5">
        <f t="shared" si="10"/>
        <v>0</v>
      </c>
      <c r="S36" s="5">
        <f t="shared" si="11"/>
        <v>0</v>
      </c>
      <c r="T36" s="5">
        <f t="shared" si="12"/>
        <v>0</v>
      </c>
      <c r="U36" s="5">
        <f t="shared" si="13"/>
        <v>0</v>
      </c>
      <c r="V36" s="5">
        <f t="shared" si="0"/>
        <v>0</v>
      </c>
    </row>
    <row r="37" spans="1:22" ht="13.5" customHeight="1" x14ac:dyDescent="0.25">
      <c r="A37" s="594"/>
      <c r="B37" s="377"/>
      <c r="C37" s="377"/>
      <c r="D37" s="443">
        <f t="shared" si="1"/>
        <v>100</v>
      </c>
      <c r="E37" s="580"/>
      <c r="F37" s="580"/>
      <c r="J37" s="26">
        <f t="shared" si="2"/>
        <v>0</v>
      </c>
      <c r="K37" s="5">
        <f t="shared" si="3"/>
        <v>0</v>
      </c>
      <c r="L37" s="5">
        <f t="shared" si="4"/>
        <v>0</v>
      </c>
      <c r="M37" s="5">
        <f t="shared" si="5"/>
        <v>0</v>
      </c>
      <c r="N37" s="5">
        <f t="shared" si="6"/>
        <v>0</v>
      </c>
      <c r="O37" s="5">
        <f t="shared" si="7"/>
        <v>0</v>
      </c>
      <c r="P37" s="5">
        <f t="shared" si="8"/>
        <v>0</v>
      </c>
      <c r="Q37" s="5">
        <f t="shared" si="9"/>
        <v>0</v>
      </c>
      <c r="R37" s="5">
        <f t="shared" si="10"/>
        <v>0</v>
      </c>
      <c r="S37" s="5">
        <f t="shared" si="11"/>
        <v>0</v>
      </c>
      <c r="T37" s="5">
        <f t="shared" si="12"/>
        <v>0</v>
      </c>
      <c r="U37" s="5">
        <f t="shared" si="13"/>
        <v>0</v>
      </c>
      <c r="V37" s="5">
        <f t="shared" si="0"/>
        <v>0</v>
      </c>
    </row>
    <row r="38" spans="1:22" ht="13.5" customHeight="1" x14ac:dyDescent="0.25">
      <c r="A38" s="594"/>
      <c r="B38" s="377"/>
      <c r="C38" s="377"/>
      <c r="D38" s="443">
        <f t="shared" si="1"/>
        <v>100</v>
      </c>
      <c r="E38" s="580"/>
      <c r="F38" s="580"/>
      <c r="J38" s="26">
        <f>IF(E38="Attributes",C38,0)</f>
        <v>0</v>
      </c>
      <c r="K38" s="5">
        <f>IF(E38="Skills",C38,0)</f>
        <v>0</v>
      </c>
      <c r="L38" s="5">
        <f>IF(E38="Specialization",C38,0)</f>
        <v>0</v>
      </c>
      <c r="M38" s="5">
        <f>IF(E38="Blood Potency",C38,0)</f>
        <v>0</v>
      </c>
      <c r="N38" s="5">
        <f>IF(E38="Merits",C38,0)</f>
        <v>0</v>
      </c>
      <c r="O38" s="5">
        <f>IF(E38="Lost Merits",C38,0)</f>
        <v>0</v>
      </c>
      <c r="P38" s="5">
        <f>IF(E38="Disciplines",C38,0)</f>
        <v>0</v>
      </c>
      <c r="Q38" s="5">
        <f>IF(E38="Rituals",C38,0)</f>
        <v>0</v>
      </c>
      <c r="R38" s="5">
        <f>IF(E38="Devotions",C38,0)</f>
        <v>0</v>
      </c>
      <c r="S38" s="5">
        <f>IF(E38="Willpower",C38,0)</f>
        <v>0</v>
      </c>
      <c r="T38" s="5">
        <f>IF(E38="Humanity",C38,0)</f>
        <v>0</v>
      </c>
      <c r="U38" s="5">
        <f>IF(E38="Oaths",C38,0)</f>
        <v>0</v>
      </c>
      <c r="V38" s="5">
        <f t="shared" si="0"/>
        <v>0</v>
      </c>
    </row>
    <row r="39" spans="1:22" ht="13.5" customHeight="1" x14ac:dyDescent="0.25">
      <c r="A39" s="594"/>
      <c r="B39" s="377"/>
      <c r="C39" s="377"/>
      <c r="D39" s="443">
        <f t="shared" si="1"/>
        <v>100</v>
      </c>
      <c r="E39" s="580"/>
      <c r="F39" s="580"/>
      <c r="J39" s="26">
        <f t="shared" si="2"/>
        <v>0</v>
      </c>
      <c r="K39" s="5">
        <f t="shared" si="3"/>
        <v>0</v>
      </c>
      <c r="L39" s="5">
        <f t="shared" si="4"/>
        <v>0</v>
      </c>
      <c r="M39" s="5">
        <f t="shared" si="5"/>
        <v>0</v>
      </c>
      <c r="N39" s="5">
        <f t="shared" si="6"/>
        <v>0</v>
      </c>
      <c r="O39" s="5">
        <f t="shared" si="7"/>
        <v>0</v>
      </c>
      <c r="P39" s="5">
        <f t="shared" si="8"/>
        <v>0</v>
      </c>
      <c r="Q39" s="5">
        <f t="shared" si="9"/>
        <v>0</v>
      </c>
      <c r="R39" s="5">
        <f t="shared" si="10"/>
        <v>0</v>
      </c>
      <c r="S39" s="5">
        <f t="shared" si="11"/>
        <v>0</v>
      </c>
      <c r="T39" s="5">
        <f t="shared" si="12"/>
        <v>0</v>
      </c>
      <c r="U39" s="5">
        <f t="shared" si="13"/>
        <v>0</v>
      </c>
      <c r="V39" s="5">
        <f t="shared" si="0"/>
        <v>0</v>
      </c>
    </row>
    <row r="40" spans="1:22" ht="13.5" customHeight="1" x14ac:dyDescent="0.25">
      <c r="A40" s="594"/>
      <c r="B40" s="377"/>
      <c r="C40" s="377"/>
      <c r="D40" s="443">
        <f t="shared" si="1"/>
        <v>100</v>
      </c>
      <c r="E40" s="580"/>
      <c r="F40" s="580"/>
      <c r="J40" s="26">
        <f t="shared" si="2"/>
        <v>0</v>
      </c>
      <c r="K40" s="5">
        <f t="shared" si="3"/>
        <v>0</v>
      </c>
      <c r="L40" s="5">
        <f t="shared" si="4"/>
        <v>0</v>
      </c>
      <c r="M40" s="5">
        <f t="shared" si="5"/>
        <v>0</v>
      </c>
      <c r="N40" s="5">
        <f t="shared" si="6"/>
        <v>0</v>
      </c>
      <c r="O40" s="5">
        <f t="shared" si="7"/>
        <v>0</v>
      </c>
      <c r="P40" s="5">
        <f t="shared" si="8"/>
        <v>0</v>
      </c>
      <c r="Q40" s="5">
        <f t="shared" si="9"/>
        <v>0</v>
      </c>
      <c r="R40" s="5">
        <f t="shared" si="10"/>
        <v>0</v>
      </c>
      <c r="S40" s="5">
        <f t="shared" si="11"/>
        <v>0</v>
      </c>
      <c r="T40" s="5">
        <f t="shared" si="12"/>
        <v>0</v>
      </c>
      <c r="U40" s="5">
        <f t="shared" si="13"/>
        <v>0</v>
      </c>
      <c r="V40" s="5">
        <f t="shared" si="0"/>
        <v>0</v>
      </c>
    </row>
    <row r="41" spans="1:22" ht="13.5" customHeight="1" x14ac:dyDescent="0.25">
      <c r="A41" s="594"/>
      <c r="B41" s="377"/>
      <c r="C41" s="377"/>
      <c r="D41" s="443">
        <f t="shared" si="1"/>
        <v>100</v>
      </c>
      <c r="E41" s="580"/>
      <c r="F41" s="580"/>
      <c r="J41" s="26">
        <f t="shared" si="2"/>
        <v>0</v>
      </c>
      <c r="K41" s="5">
        <f t="shared" si="3"/>
        <v>0</v>
      </c>
      <c r="L41" s="5">
        <f t="shared" si="4"/>
        <v>0</v>
      </c>
      <c r="M41" s="5">
        <f t="shared" si="5"/>
        <v>0</v>
      </c>
      <c r="N41" s="5">
        <f t="shared" si="6"/>
        <v>0</v>
      </c>
      <c r="O41" s="5">
        <f t="shared" si="7"/>
        <v>0</v>
      </c>
      <c r="P41" s="5">
        <f t="shared" si="8"/>
        <v>0</v>
      </c>
      <c r="Q41" s="5">
        <f t="shared" si="9"/>
        <v>0</v>
      </c>
      <c r="R41" s="5">
        <f t="shared" si="10"/>
        <v>0</v>
      </c>
      <c r="S41" s="5">
        <f t="shared" si="11"/>
        <v>0</v>
      </c>
      <c r="T41" s="5">
        <f t="shared" si="12"/>
        <v>0</v>
      </c>
      <c r="U41" s="5">
        <f t="shared" si="13"/>
        <v>0</v>
      </c>
      <c r="V41" s="5">
        <f t="shared" si="0"/>
        <v>0</v>
      </c>
    </row>
    <row r="42" spans="1:22" ht="13.5" customHeight="1" x14ac:dyDescent="0.25">
      <c r="A42" s="594"/>
      <c r="B42" s="377"/>
      <c r="C42" s="377"/>
      <c r="D42" s="443">
        <f t="shared" si="1"/>
        <v>100</v>
      </c>
      <c r="E42" s="580"/>
      <c r="F42" s="580"/>
      <c r="J42" s="26">
        <f t="shared" si="2"/>
        <v>0</v>
      </c>
      <c r="K42" s="5">
        <f t="shared" si="3"/>
        <v>0</v>
      </c>
      <c r="L42" s="5">
        <f t="shared" si="4"/>
        <v>0</v>
      </c>
      <c r="M42" s="5">
        <f t="shared" si="5"/>
        <v>0</v>
      </c>
      <c r="N42" s="5">
        <f t="shared" si="6"/>
        <v>0</v>
      </c>
      <c r="O42" s="5">
        <f t="shared" si="7"/>
        <v>0</v>
      </c>
      <c r="P42" s="5">
        <f t="shared" si="8"/>
        <v>0</v>
      </c>
      <c r="Q42" s="5">
        <f t="shared" si="9"/>
        <v>0</v>
      </c>
      <c r="R42" s="5">
        <f t="shared" si="10"/>
        <v>0</v>
      </c>
      <c r="S42" s="5">
        <f t="shared" si="11"/>
        <v>0</v>
      </c>
      <c r="T42" s="5">
        <f t="shared" si="12"/>
        <v>0</v>
      </c>
      <c r="U42" s="5">
        <f t="shared" si="13"/>
        <v>0</v>
      </c>
      <c r="V42" s="5">
        <f t="shared" si="0"/>
        <v>0</v>
      </c>
    </row>
    <row r="43" spans="1:22" ht="13.5" customHeight="1" x14ac:dyDescent="0.25">
      <c r="A43" s="594"/>
      <c r="B43" s="377"/>
      <c r="C43" s="377"/>
      <c r="D43" s="443">
        <f t="shared" si="1"/>
        <v>100</v>
      </c>
      <c r="E43" s="580"/>
      <c r="F43" s="580"/>
      <c r="J43" s="26">
        <f t="shared" si="2"/>
        <v>0</v>
      </c>
      <c r="K43" s="5">
        <f t="shared" si="3"/>
        <v>0</v>
      </c>
      <c r="L43" s="5">
        <f t="shared" si="4"/>
        <v>0</v>
      </c>
      <c r="M43" s="5">
        <f t="shared" si="5"/>
        <v>0</v>
      </c>
      <c r="N43" s="5">
        <f t="shared" si="6"/>
        <v>0</v>
      </c>
      <c r="O43" s="5">
        <f t="shared" si="7"/>
        <v>0</v>
      </c>
      <c r="P43" s="5">
        <f t="shared" si="8"/>
        <v>0</v>
      </c>
      <c r="Q43" s="5">
        <f t="shared" si="9"/>
        <v>0</v>
      </c>
      <c r="R43" s="5">
        <f t="shared" si="10"/>
        <v>0</v>
      </c>
      <c r="S43" s="5">
        <f t="shared" si="11"/>
        <v>0</v>
      </c>
      <c r="T43" s="5">
        <f t="shared" si="12"/>
        <v>0</v>
      </c>
      <c r="U43" s="5">
        <f t="shared" si="13"/>
        <v>0</v>
      </c>
      <c r="V43" s="5">
        <f t="shared" si="0"/>
        <v>0</v>
      </c>
    </row>
    <row r="44" spans="1:22" ht="13.5" customHeight="1" x14ac:dyDescent="0.25">
      <c r="A44" s="594"/>
      <c r="B44" s="377"/>
      <c r="C44" s="377"/>
      <c r="D44" s="443">
        <f t="shared" si="1"/>
        <v>100</v>
      </c>
      <c r="E44" s="580"/>
      <c r="F44" s="580"/>
      <c r="J44" s="26">
        <f t="shared" si="2"/>
        <v>0</v>
      </c>
      <c r="K44" s="5">
        <f t="shared" si="3"/>
        <v>0</v>
      </c>
      <c r="L44" s="5">
        <f t="shared" si="4"/>
        <v>0</v>
      </c>
      <c r="M44" s="5">
        <f t="shared" si="5"/>
        <v>0</v>
      </c>
      <c r="N44" s="5">
        <f t="shared" si="6"/>
        <v>0</v>
      </c>
      <c r="O44" s="5">
        <f t="shared" si="7"/>
        <v>0</v>
      </c>
      <c r="P44" s="5">
        <f t="shared" si="8"/>
        <v>0</v>
      </c>
      <c r="Q44" s="5">
        <f t="shared" si="9"/>
        <v>0</v>
      </c>
      <c r="R44" s="5">
        <f t="shared" si="10"/>
        <v>0</v>
      </c>
      <c r="S44" s="5">
        <f t="shared" si="11"/>
        <v>0</v>
      </c>
      <c r="T44" s="5">
        <f t="shared" si="12"/>
        <v>0</v>
      </c>
      <c r="U44" s="5">
        <f t="shared" si="13"/>
        <v>0</v>
      </c>
      <c r="V44" s="5">
        <f t="shared" si="0"/>
        <v>0</v>
      </c>
    </row>
    <row r="45" spans="1:22" ht="13.5" customHeight="1" x14ac:dyDescent="0.25">
      <c r="A45" s="594"/>
      <c r="B45" s="377"/>
      <c r="C45" s="377"/>
      <c r="D45" s="443">
        <f t="shared" si="1"/>
        <v>100</v>
      </c>
      <c r="E45" s="580"/>
      <c r="F45" s="580"/>
      <c r="J45" s="26">
        <f t="shared" si="2"/>
        <v>0</v>
      </c>
      <c r="K45" s="5">
        <f t="shared" si="3"/>
        <v>0</v>
      </c>
      <c r="L45" s="5">
        <f t="shared" si="4"/>
        <v>0</v>
      </c>
      <c r="M45" s="5">
        <f t="shared" si="5"/>
        <v>0</v>
      </c>
      <c r="N45" s="5">
        <f t="shared" si="6"/>
        <v>0</v>
      </c>
      <c r="O45" s="5">
        <f t="shared" si="7"/>
        <v>0</v>
      </c>
      <c r="P45" s="5">
        <f t="shared" si="8"/>
        <v>0</v>
      </c>
      <c r="Q45" s="5">
        <f t="shared" si="9"/>
        <v>0</v>
      </c>
      <c r="R45" s="5">
        <f t="shared" si="10"/>
        <v>0</v>
      </c>
      <c r="S45" s="5">
        <f t="shared" si="11"/>
        <v>0</v>
      </c>
      <c r="T45" s="5">
        <f t="shared" si="12"/>
        <v>0</v>
      </c>
      <c r="U45" s="5">
        <f t="shared" si="13"/>
        <v>0</v>
      </c>
      <c r="V45" s="5">
        <f t="shared" si="0"/>
        <v>0</v>
      </c>
    </row>
    <row r="46" spans="1:22" ht="13.5" customHeight="1" x14ac:dyDescent="0.25">
      <c r="A46" s="594"/>
      <c r="B46" s="377"/>
      <c r="C46" s="377"/>
      <c r="D46" s="443">
        <f t="shared" si="1"/>
        <v>100</v>
      </c>
      <c r="E46" s="580"/>
      <c r="F46" s="580"/>
      <c r="J46" s="26">
        <f t="shared" si="2"/>
        <v>0</v>
      </c>
      <c r="K46" s="5">
        <f t="shared" si="3"/>
        <v>0</v>
      </c>
      <c r="L46" s="5">
        <f t="shared" si="4"/>
        <v>0</v>
      </c>
      <c r="M46" s="5">
        <f t="shared" si="5"/>
        <v>0</v>
      </c>
      <c r="N46" s="5">
        <f t="shared" si="6"/>
        <v>0</v>
      </c>
      <c r="O46" s="5">
        <f t="shared" si="7"/>
        <v>0</v>
      </c>
      <c r="P46" s="5">
        <f t="shared" si="8"/>
        <v>0</v>
      </c>
      <c r="Q46" s="5">
        <f t="shared" si="9"/>
        <v>0</v>
      </c>
      <c r="R46" s="5">
        <f t="shared" si="10"/>
        <v>0</v>
      </c>
      <c r="S46" s="5">
        <f t="shared" si="11"/>
        <v>0</v>
      </c>
      <c r="T46" s="5">
        <f t="shared" si="12"/>
        <v>0</v>
      </c>
      <c r="U46" s="5">
        <f t="shared" si="13"/>
        <v>0</v>
      </c>
      <c r="V46" s="5">
        <f t="shared" si="0"/>
        <v>0</v>
      </c>
    </row>
    <row r="47" spans="1:22" ht="13.5" customHeight="1" x14ac:dyDescent="0.25">
      <c r="A47" s="594"/>
      <c r="B47" s="377"/>
      <c r="C47" s="377"/>
      <c r="D47" s="443">
        <f t="shared" si="1"/>
        <v>100</v>
      </c>
      <c r="E47" s="580"/>
      <c r="F47" s="580"/>
      <c r="J47" s="26">
        <f t="shared" si="2"/>
        <v>0</v>
      </c>
      <c r="K47" s="5">
        <f t="shared" si="3"/>
        <v>0</v>
      </c>
      <c r="L47" s="5">
        <f t="shared" si="4"/>
        <v>0</v>
      </c>
      <c r="M47" s="5">
        <f t="shared" si="5"/>
        <v>0</v>
      </c>
      <c r="N47" s="5">
        <f t="shared" si="6"/>
        <v>0</v>
      </c>
      <c r="O47" s="5">
        <f t="shared" si="7"/>
        <v>0</v>
      </c>
      <c r="P47" s="5">
        <f t="shared" si="8"/>
        <v>0</v>
      </c>
      <c r="Q47" s="5">
        <f t="shared" si="9"/>
        <v>0</v>
      </c>
      <c r="R47" s="5">
        <f t="shared" si="10"/>
        <v>0</v>
      </c>
      <c r="S47" s="5">
        <f t="shared" si="11"/>
        <v>0</v>
      </c>
      <c r="T47" s="5">
        <f t="shared" si="12"/>
        <v>0</v>
      </c>
      <c r="U47" s="5">
        <f t="shared" si="13"/>
        <v>0</v>
      </c>
      <c r="V47" s="5">
        <f t="shared" si="0"/>
        <v>0</v>
      </c>
    </row>
    <row r="48" spans="1:22" ht="13.5" customHeight="1" x14ac:dyDescent="0.25">
      <c r="A48" s="594"/>
      <c r="B48" s="377"/>
      <c r="C48" s="377"/>
      <c r="D48" s="443">
        <f t="shared" si="1"/>
        <v>100</v>
      </c>
      <c r="E48" s="580"/>
      <c r="F48" s="580"/>
      <c r="J48" s="26">
        <f t="shared" si="2"/>
        <v>0</v>
      </c>
      <c r="K48" s="5">
        <f t="shared" si="3"/>
        <v>0</v>
      </c>
      <c r="L48" s="5">
        <f t="shared" si="4"/>
        <v>0</v>
      </c>
      <c r="M48" s="5">
        <f t="shared" si="5"/>
        <v>0</v>
      </c>
      <c r="N48" s="5">
        <f t="shared" si="6"/>
        <v>0</v>
      </c>
      <c r="O48" s="5">
        <f t="shared" si="7"/>
        <v>0</v>
      </c>
      <c r="P48" s="5">
        <f t="shared" si="8"/>
        <v>0</v>
      </c>
      <c r="Q48" s="5">
        <f t="shared" si="9"/>
        <v>0</v>
      </c>
      <c r="R48" s="5">
        <f t="shared" si="10"/>
        <v>0</v>
      </c>
      <c r="S48" s="5">
        <f t="shared" si="11"/>
        <v>0</v>
      </c>
      <c r="T48" s="5">
        <f t="shared" si="12"/>
        <v>0</v>
      </c>
      <c r="U48" s="5">
        <f t="shared" si="13"/>
        <v>0</v>
      </c>
      <c r="V48" s="5">
        <f t="shared" si="0"/>
        <v>0</v>
      </c>
    </row>
    <row r="49" spans="1:22" ht="13.5" customHeight="1" x14ac:dyDescent="0.25">
      <c r="A49" s="594"/>
      <c r="B49" s="377"/>
      <c r="C49" s="377"/>
      <c r="D49" s="443">
        <f t="shared" si="1"/>
        <v>100</v>
      </c>
      <c r="E49" s="580"/>
      <c r="F49" s="580"/>
      <c r="J49" s="26">
        <f t="shared" si="2"/>
        <v>0</v>
      </c>
      <c r="K49" s="5">
        <f t="shared" si="3"/>
        <v>0</v>
      </c>
      <c r="L49" s="5">
        <f t="shared" si="4"/>
        <v>0</v>
      </c>
      <c r="M49" s="5">
        <f t="shared" si="5"/>
        <v>0</v>
      </c>
      <c r="N49" s="5">
        <f t="shared" si="6"/>
        <v>0</v>
      </c>
      <c r="O49" s="5">
        <f t="shared" si="7"/>
        <v>0</v>
      </c>
      <c r="P49" s="5">
        <f t="shared" si="8"/>
        <v>0</v>
      </c>
      <c r="Q49" s="5">
        <f t="shared" si="9"/>
        <v>0</v>
      </c>
      <c r="R49" s="5">
        <f t="shared" si="10"/>
        <v>0</v>
      </c>
      <c r="S49" s="5">
        <f t="shared" si="11"/>
        <v>0</v>
      </c>
      <c r="T49" s="5">
        <f t="shared" si="12"/>
        <v>0</v>
      </c>
      <c r="U49" s="5">
        <f t="shared" si="13"/>
        <v>0</v>
      </c>
      <c r="V49" s="5">
        <f t="shared" si="0"/>
        <v>0</v>
      </c>
    </row>
    <row r="50" spans="1:22" ht="13.5" customHeight="1" x14ac:dyDescent="0.25">
      <c r="A50" s="594"/>
      <c r="B50" s="377"/>
      <c r="C50" s="377"/>
      <c r="D50" s="443">
        <f t="shared" si="1"/>
        <v>100</v>
      </c>
      <c r="E50" s="580"/>
      <c r="F50" s="580"/>
      <c r="J50" s="26">
        <f t="shared" si="2"/>
        <v>0</v>
      </c>
      <c r="K50" s="5">
        <f t="shared" si="3"/>
        <v>0</v>
      </c>
      <c r="L50" s="5">
        <f t="shared" si="4"/>
        <v>0</v>
      </c>
      <c r="M50" s="5">
        <f t="shared" si="5"/>
        <v>0</v>
      </c>
      <c r="N50" s="5">
        <f t="shared" si="6"/>
        <v>0</v>
      </c>
      <c r="O50" s="5">
        <f t="shared" si="7"/>
        <v>0</v>
      </c>
      <c r="P50" s="5">
        <f t="shared" si="8"/>
        <v>0</v>
      </c>
      <c r="Q50" s="5">
        <f t="shared" si="9"/>
        <v>0</v>
      </c>
      <c r="R50" s="5">
        <f t="shared" si="10"/>
        <v>0</v>
      </c>
      <c r="S50" s="5">
        <f t="shared" si="11"/>
        <v>0</v>
      </c>
      <c r="T50" s="5">
        <f t="shared" si="12"/>
        <v>0</v>
      </c>
      <c r="U50" s="5">
        <f t="shared" si="13"/>
        <v>0</v>
      </c>
      <c r="V50" s="5">
        <f t="shared" si="0"/>
        <v>0</v>
      </c>
    </row>
    <row r="51" spans="1:22" ht="13.5" customHeight="1" x14ac:dyDescent="0.25">
      <c r="A51" s="594"/>
      <c r="B51" s="377"/>
      <c r="C51" s="377"/>
      <c r="D51" s="443">
        <f t="shared" si="1"/>
        <v>100</v>
      </c>
      <c r="E51" s="580"/>
      <c r="F51" s="580"/>
      <c r="J51" s="26">
        <f t="shared" si="2"/>
        <v>0</v>
      </c>
      <c r="K51" s="5">
        <f t="shared" si="3"/>
        <v>0</v>
      </c>
      <c r="L51" s="5">
        <f t="shared" si="4"/>
        <v>0</v>
      </c>
      <c r="M51" s="5">
        <f t="shared" si="5"/>
        <v>0</v>
      </c>
      <c r="N51" s="5">
        <f t="shared" si="6"/>
        <v>0</v>
      </c>
      <c r="O51" s="5">
        <f t="shared" si="7"/>
        <v>0</v>
      </c>
      <c r="P51" s="5">
        <f t="shared" si="8"/>
        <v>0</v>
      </c>
      <c r="Q51" s="5">
        <f t="shared" si="9"/>
        <v>0</v>
      </c>
      <c r="R51" s="5">
        <f t="shared" si="10"/>
        <v>0</v>
      </c>
      <c r="S51" s="5">
        <f t="shared" si="11"/>
        <v>0</v>
      </c>
      <c r="T51" s="5">
        <f t="shared" si="12"/>
        <v>0</v>
      </c>
      <c r="U51" s="5">
        <f t="shared" si="13"/>
        <v>0</v>
      </c>
      <c r="V51" s="5">
        <f t="shared" si="0"/>
        <v>0</v>
      </c>
    </row>
    <row r="52" spans="1:22" ht="13.5" customHeight="1" x14ac:dyDescent="0.25">
      <c r="A52" s="594"/>
      <c r="B52" s="377"/>
      <c r="C52" s="377"/>
      <c r="D52" s="443">
        <f t="shared" si="1"/>
        <v>100</v>
      </c>
      <c r="E52" s="580"/>
      <c r="F52" s="580"/>
      <c r="J52" s="26">
        <f t="shared" si="2"/>
        <v>0</v>
      </c>
      <c r="K52" s="5">
        <f t="shared" si="3"/>
        <v>0</v>
      </c>
      <c r="L52" s="5">
        <f t="shared" si="4"/>
        <v>0</v>
      </c>
      <c r="M52" s="5">
        <f t="shared" si="5"/>
        <v>0</v>
      </c>
      <c r="N52" s="5">
        <f t="shared" si="6"/>
        <v>0</v>
      </c>
      <c r="O52" s="5">
        <f t="shared" si="7"/>
        <v>0</v>
      </c>
      <c r="P52" s="5">
        <f t="shared" si="8"/>
        <v>0</v>
      </c>
      <c r="Q52" s="5">
        <f t="shared" si="9"/>
        <v>0</v>
      </c>
      <c r="R52" s="5">
        <f t="shared" si="10"/>
        <v>0</v>
      </c>
      <c r="S52" s="5">
        <f t="shared" si="11"/>
        <v>0</v>
      </c>
      <c r="T52" s="5">
        <f t="shared" si="12"/>
        <v>0</v>
      </c>
      <c r="U52" s="5">
        <f t="shared" si="13"/>
        <v>0</v>
      </c>
      <c r="V52" s="5">
        <f t="shared" si="0"/>
        <v>0</v>
      </c>
    </row>
    <row r="53" spans="1:22" ht="13.5" customHeight="1" x14ac:dyDescent="0.25">
      <c r="A53" s="594"/>
      <c r="B53" s="377"/>
      <c r="C53" s="377"/>
      <c r="D53" s="443">
        <f t="shared" si="1"/>
        <v>100</v>
      </c>
      <c r="E53" s="580"/>
      <c r="F53" s="580"/>
      <c r="J53" s="26">
        <f t="shared" si="2"/>
        <v>0</v>
      </c>
      <c r="K53" s="5">
        <f t="shared" si="3"/>
        <v>0</v>
      </c>
      <c r="L53" s="5">
        <f t="shared" si="4"/>
        <v>0</v>
      </c>
      <c r="M53" s="5">
        <f t="shared" si="5"/>
        <v>0</v>
      </c>
      <c r="N53" s="5">
        <f t="shared" si="6"/>
        <v>0</v>
      </c>
      <c r="O53" s="5">
        <f t="shared" si="7"/>
        <v>0</v>
      </c>
      <c r="P53" s="5">
        <f t="shared" si="8"/>
        <v>0</v>
      </c>
      <c r="Q53" s="5">
        <f t="shared" si="9"/>
        <v>0</v>
      </c>
      <c r="R53" s="5">
        <f t="shared" si="10"/>
        <v>0</v>
      </c>
      <c r="S53" s="5">
        <f t="shared" si="11"/>
        <v>0</v>
      </c>
      <c r="T53" s="5">
        <f t="shared" si="12"/>
        <v>0</v>
      </c>
      <c r="U53" s="5">
        <f t="shared" si="13"/>
        <v>0</v>
      </c>
      <c r="V53" s="5">
        <f t="shared" si="0"/>
        <v>0</v>
      </c>
    </row>
    <row r="54" spans="1:22" ht="13.5" customHeight="1" x14ac:dyDescent="0.25">
      <c r="A54" s="594"/>
      <c r="B54" s="377"/>
      <c r="C54" s="377"/>
      <c r="D54" s="443">
        <f t="shared" si="1"/>
        <v>100</v>
      </c>
      <c r="E54" s="580"/>
      <c r="F54" s="580"/>
      <c r="J54" s="26">
        <f t="shared" si="2"/>
        <v>0</v>
      </c>
      <c r="K54" s="5">
        <f t="shared" si="3"/>
        <v>0</v>
      </c>
      <c r="L54" s="5">
        <f t="shared" si="4"/>
        <v>0</v>
      </c>
      <c r="M54" s="5">
        <f t="shared" si="5"/>
        <v>0</v>
      </c>
      <c r="N54" s="5">
        <f t="shared" si="6"/>
        <v>0</v>
      </c>
      <c r="O54" s="5">
        <f t="shared" si="7"/>
        <v>0</v>
      </c>
      <c r="P54" s="5">
        <f t="shared" si="8"/>
        <v>0</v>
      </c>
      <c r="Q54" s="5">
        <f t="shared" si="9"/>
        <v>0</v>
      </c>
      <c r="R54" s="5">
        <f t="shared" si="10"/>
        <v>0</v>
      </c>
      <c r="S54" s="5">
        <f t="shared" si="11"/>
        <v>0</v>
      </c>
      <c r="T54" s="5">
        <f t="shared" si="12"/>
        <v>0</v>
      </c>
      <c r="U54" s="5">
        <f t="shared" si="13"/>
        <v>0</v>
      </c>
      <c r="V54" s="5">
        <f t="shared" si="0"/>
        <v>0</v>
      </c>
    </row>
    <row r="55" spans="1:22" ht="13.5" customHeight="1" x14ac:dyDescent="0.25">
      <c r="A55" s="594"/>
      <c r="B55" s="377"/>
      <c r="C55" s="377"/>
      <c r="D55" s="443">
        <f t="shared" si="1"/>
        <v>100</v>
      </c>
      <c r="E55" s="580"/>
      <c r="F55" s="580"/>
      <c r="J55" s="26">
        <f t="shared" si="2"/>
        <v>0</v>
      </c>
      <c r="K55" s="5">
        <f t="shared" si="3"/>
        <v>0</v>
      </c>
      <c r="L55" s="5">
        <f t="shared" si="4"/>
        <v>0</v>
      </c>
      <c r="M55" s="5">
        <f t="shared" si="5"/>
        <v>0</v>
      </c>
      <c r="N55" s="5">
        <f t="shared" si="6"/>
        <v>0</v>
      </c>
      <c r="O55" s="5">
        <f t="shared" si="7"/>
        <v>0</v>
      </c>
      <c r="P55" s="5">
        <f t="shared" si="8"/>
        <v>0</v>
      </c>
      <c r="Q55" s="5">
        <f t="shared" si="9"/>
        <v>0</v>
      </c>
      <c r="R55" s="5">
        <f t="shared" si="10"/>
        <v>0</v>
      </c>
      <c r="S55" s="5">
        <f t="shared" si="11"/>
        <v>0</v>
      </c>
      <c r="T55" s="5">
        <f t="shared" si="12"/>
        <v>0</v>
      </c>
      <c r="U55" s="5">
        <f t="shared" si="13"/>
        <v>0</v>
      </c>
      <c r="V55" s="5">
        <f t="shared" si="0"/>
        <v>0</v>
      </c>
    </row>
    <row r="56" spans="1:22" ht="13.5" customHeight="1" x14ac:dyDescent="0.25">
      <c r="A56" s="594"/>
      <c r="B56" s="377"/>
      <c r="C56" s="377"/>
      <c r="D56" s="443">
        <f t="shared" si="1"/>
        <v>100</v>
      </c>
      <c r="E56" s="580"/>
      <c r="F56" s="580"/>
      <c r="J56" s="26">
        <f t="shared" si="2"/>
        <v>0</v>
      </c>
      <c r="K56" s="5">
        <f t="shared" si="3"/>
        <v>0</v>
      </c>
      <c r="L56" s="5">
        <f t="shared" si="4"/>
        <v>0</v>
      </c>
      <c r="M56" s="5">
        <f t="shared" si="5"/>
        <v>0</v>
      </c>
      <c r="N56" s="5">
        <f t="shared" si="6"/>
        <v>0</v>
      </c>
      <c r="O56" s="5">
        <f t="shared" si="7"/>
        <v>0</v>
      </c>
      <c r="P56" s="5">
        <f t="shared" si="8"/>
        <v>0</v>
      </c>
      <c r="Q56" s="5">
        <f t="shared" si="9"/>
        <v>0</v>
      </c>
      <c r="R56" s="5">
        <f t="shared" si="10"/>
        <v>0</v>
      </c>
      <c r="S56" s="5">
        <f t="shared" si="11"/>
        <v>0</v>
      </c>
      <c r="T56" s="5">
        <f t="shared" si="12"/>
        <v>0</v>
      </c>
      <c r="U56" s="5">
        <f t="shared" si="13"/>
        <v>0</v>
      </c>
      <c r="V56" s="5">
        <f t="shared" si="0"/>
        <v>0</v>
      </c>
    </row>
    <row r="57" spans="1:22" ht="13.5" customHeight="1" x14ac:dyDescent="0.25">
      <c r="A57" s="594"/>
      <c r="B57" s="377"/>
      <c r="C57" s="377"/>
      <c r="D57" s="443">
        <f t="shared" si="1"/>
        <v>100</v>
      </c>
      <c r="E57" s="580"/>
      <c r="F57" s="580"/>
      <c r="J57" s="26">
        <f t="shared" si="2"/>
        <v>0</v>
      </c>
      <c r="K57" s="5">
        <f t="shared" si="3"/>
        <v>0</v>
      </c>
      <c r="L57" s="5">
        <f t="shared" si="4"/>
        <v>0</v>
      </c>
      <c r="M57" s="5">
        <f t="shared" si="5"/>
        <v>0</v>
      </c>
      <c r="N57" s="5">
        <f t="shared" si="6"/>
        <v>0</v>
      </c>
      <c r="O57" s="5">
        <f t="shared" si="7"/>
        <v>0</v>
      </c>
      <c r="P57" s="5">
        <f t="shared" si="8"/>
        <v>0</v>
      </c>
      <c r="Q57" s="5">
        <f t="shared" si="9"/>
        <v>0</v>
      </c>
      <c r="R57" s="5">
        <f t="shared" si="10"/>
        <v>0</v>
      </c>
      <c r="S57" s="5">
        <f t="shared" si="11"/>
        <v>0</v>
      </c>
      <c r="T57" s="5">
        <f t="shared" si="12"/>
        <v>0</v>
      </c>
      <c r="U57" s="5">
        <f t="shared" si="13"/>
        <v>0</v>
      </c>
      <c r="V57" s="5">
        <f t="shared" si="0"/>
        <v>0</v>
      </c>
    </row>
    <row r="58" spans="1:22" ht="13.5" customHeight="1" x14ac:dyDescent="0.25">
      <c r="A58" s="594"/>
      <c r="B58" s="377"/>
      <c r="C58" s="377"/>
      <c r="D58" s="443">
        <f t="shared" si="1"/>
        <v>100</v>
      </c>
      <c r="E58" s="580"/>
      <c r="F58" s="580"/>
      <c r="J58" s="26">
        <f t="shared" si="2"/>
        <v>0</v>
      </c>
      <c r="K58" s="5">
        <f t="shared" si="3"/>
        <v>0</v>
      </c>
      <c r="L58" s="5">
        <f t="shared" si="4"/>
        <v>0</v>
      </c>
      <c r="M58" s="5">
        <f t="shared" si="5"/>
        <v>0</v>
      </c>
      <c r="N58" s="5">
        <f t="shared" si="6"/>
        <v>0</v>
      </c>
      <c r="O58" s="5">
        <f t="shared" si="7"/>
        <v>0</v>
      </c>
      <c r="P58" s="5">
        <f t="shared" si="8"/>
        <v>0</v>
      </c>
      <c r="Q58" s="5">
        <f t="shared" si="9"/>
        <v>0</v>
      </c>
      <c r="R58" s="5">
        <f t="shared" si="10"/>
        <v>0</v>
      </c>
      <c r="S58" s="5">
        <f t="shared" si="11"/>
        <v>0</v>
      </c>
      <c r="T58" s="5">
        <f t="shared" si="12"/>
        <v>0</v>
      </c>
      <c r="U58" s="5">
        <f t="shared" si="13"/>
        <v>0</v>
      </c>
      <c r="V58" s="5">
        <f t="shared" si="0"/>
        <v>0</v>
      </c>
    </row>
    <row r="59" spans="1:22" ht="13.5" customHeight="1" x14ac:dyDescent="0.25">
      <c r="A59" s="594"/>
      <c r="B59" s="377"/>
      <c r="C59" s="377"/>
      <c r="D59" s="443">
        <f t="shared" si="1"/>
        <v>100</v>
      </c>
      <c r="E59" s="580"/>
      <c r="F59" s="580"/>
      <c r="J59" s="26">
        <f t="shared" si="2"/>
        <v>0</v>
      </c>
      <c r="K59" s="5">
        <f t="shared" si="3"/>
        <v>0</v>
      </c>
      <c r="L59" s="5">
        <f t="shared" si="4"/>
        <v>0</v>
      </c>
      <c r="M59" s="5">
        <f t="shared" si="5"/>
        <v>0</v>
      </c>
      <c r="N59" s="5">
        <f t="shared" si="6"/>
        <v>0</v>
      </c>
      <c r="O59" s="5">
        <f t="shared" si="7"/>
        <v>0</v>
      </c>
      <c r="P59" s="5">
        <f t="shared" si="8"/>
        <v>0</v>
      </c>
      <c r="Q59" s="5">
        <f t="shared" si="9"/>
        <v>0</v>
      </c>
      <c r="R59" s="5">
        <f t="shared" si="10"/>
        <v>0</v>
      </c>
      <c r="S59" s="5">
        <f t="shared" si="11"/>
        <v>0</v>
      </c>
      <c r="T59" s="5">
        <f t="shared" si="12"/>
        <v>0</v>
      </c>
      <c r="U59" s="5">
        <f t="shared" si="13"/>
        <v>0</v>
      </c>
      <c r="V59" s="5">
        <f t="shared" si="0"/>
        <v>0</v>
      </c>
    </row>
    <row r="60" spans="1:22" ht="13.5" customHeight="1" x14ac:dyDescent="0.25">
      <c r="A60" s="594"/>
      <c r="B60" s="377"/>
      <c r="C60" s="377"/>
      <c r="D60" s="443">
        <f t="shared" si="1"/>
        <v>100</v>
      </c>
      <c r="E60" s="580"/>
      <c r="F60" s="580"/>
      <c r="J60" s="26">
        <f t="shared" si="2"/>
        <v>0</v>
      </c>
      <c r="K60" s="5">
        <f t="shared" si="3"/>
        <v>0</v>
      </c>
      <c r="L60" s="5">
        <f t="shared" si="4"/>
        <v>0</v>
      </c>
      <c r="M60" s="5">
        <f t="shared" si="5"/>
        <v>0</v>
      </c>
      <c r="N60" s="5">
        <f t="shared" si="6"/>
        <v>0</v>
      </c>
      <c r="O60" s="5">
        <f t="shared" si="7"/>
        <v>0</v>
      </c>
      <c r="P60" s="5">
        <f t="shared" si="8"/>
        <v>0</v>
      </c>
      <c r="Q60" s="5">
        <f t="shared" si="9"/>
        <v>0</v>
      </c>
      <c r="R60" s="5">
        <f t="shared" si="10"/>
        <v>0</v>
      </c>
      <c r="S60" s="5">
        <f t="shared" si="11"/>
        <v>0</v>
      </c>
      <c r="T60" s="5">
        <f t="shared" si="12"/>
        <v>0</v>
      </c>
      <c r="U60" s="5">
        <f t="shared" si="13"/>
        <v>0</v>
      </c>
      <c r="V60" s="5">
        <f t="shared" si="0"/>
        <v>0</v>
      </c>
    </row>
    <row r="61" spans="1:22" ht="13.5" customHeight="1" x14ac:dyDescent="0.25">
      <c r="A61" s="594"/>
      <c r="B61" s="377"/>
      <c r="C61" s="377"/>
      <c r="D61" s="443">
        <f t="shared" si="1"/>
        <v>100</v>
      </c>
      <c r="E61" s="580"/>
      <c r="F61" s="580"/>
      <c r="J61" s="26">
        <f t="shared" si="2"/>
        <v>0</v>
      </c>
      <c r="K61" s="5">
        <f t="shared" si="3"/>
        <v>0</v>
      </c>
      <c r="L61" s="5">
        <f t="shared" si="4"/>
        <v>0</v>
      </c>
      <c r="M61" s="5">
        <f t="shared" si="5"/>
        <v>0</v>
      </c>
      <c r="N61" s="5">
        <f t="shared" si="6"/>
        <v>0</v>
      </c>
      <c r="O61" s="5">
        <f t="shared" si="7"/>
        <v>0</v>
      </c>
      <c r="P61" s="5">
        <f t="shared" si="8"/>
        <v>0</v>
      </c>
      <c r="Q61" s="5">
        <f t="shared" si="9"/>
        <v>0</v>
      </c>
      <c r="R61" s="5">
        <f t="shared" si="10"/>
        <v>0</v>
      </c>
      <c r="S61" s="5">
        <f t="shared" si="11"/>
        <v>0</v>
      </c>
      <c r="T61" s="5">
        <f t="shared" si="12"/>
        <v>0</v>
      </c>
      <c r="U61" s="5">
        <f t="shared" si="13"/>
        <v>0</v>
      </c>
      <c r="V61" s="5">
        <f t="shared" si="0"/>
        <v>0</v>
      </c>
    </row>
    <row r="62" spans="1:22" ht="13.5" customHeight="1" x14ac:dyDescent="0.25">
      <c r="A62" s="594"/>
      <c r="B62" s="377"/>
      <c r="C62" s="377"/>
      <c r="D62" s="443">
        <f t="shared" si="1"/>
        <v>100</v>
      </c>
      <c r="E62" s="580"/>
      <c r="F62" s="580"/>
      <c r="J62" s="26">
        <f t="shared" si="2"/>
        <v>0</v>
      </c>
      <c r="K62" s="5">
        <f t="shared" si="3"/>
        <v>0</v>
      </c>
      <c r="L62" s="5">
        <f t="shared" si="4"/>
        <v>0</v>
      </c>
      <c r="M62" s="5">
        <f t="shared" si="5"/>
        <v>0</v>
      </c>
      <c r="N62" s="5">
        <f t="shared" si="6"/>
        <v>0</v>
      </c>
      <c r="O62" s="5">
        <f t="shared" si="7"/>
        <v>0</v>
      </c>
      <c r="P62" s="5">
        <f t="shared" si="8"/>
        <v>0</v>
      </c>
      <c r="Q62" s="5">
        <f t="shared" si="9"/>
        <v>0</v>
      </c>
      <c r="R62" s="5">
        <f t="shared" si="10"/>
        <v>0</v>
      </c>
      <c r="S62" s="5">
        <f t="shared" si="11"/>
        <v>0</v>
      </c>
      <c r="T62" s="5">
        <f t="shared" si="12"/>
        <v>0</v>
      </c>
      <c r="U62" s="5">
        <f t="shared" si="13"/>
        <v>0</v>
      </c>
      <c r="V62" s="5">
        <f t="shared" si="0"/>
        <v>0</v>
      </c>
    </row>
    <row r="63" spans="1:22" ht="13.5" customHeight="1" x14ac:dyDescent="0.25">
      <c r="A63" s="594"/>
      <c r="B63" s="377"/>
      <c r="C63" s="377"/>
      <c r="D63" s="443">
        <f t="shared" si="1"/>
        <v>100</v>
      </c>
      <c r="E63" s="580"/>
      <c r="F63" s="580"/>
      <c r="J63" s="26">
        <f t="shared" si="2"/>
        <v>0</v>
      </c>
      <c r="K63" s="5">
        <f t="shared" si="3"/>
        <v>0</v>
      </c>
      <c r="L63" s="5">
        <f t="shared" si="4"/>
        <v>0</v>
      </c>
      <c r="M63" s="5">
        <f t="shared" si="5"/>
        <v>0</v>
      </c>
      <c r="N63" s="5">
        <f t="shared" si="6"/>
        <v>0</v>
      </c>
      <c r="O63" s="5">
        <f t="shared" si="7"/>
        <v>0</v>
      </c>
      <c r="P63" s="5">
        <f t="shared" si="8"/>
        <v>0</v>
      </c>
      <c r="Q63" s="5">
        <f t="shared" si="9"/>
        <v>0</v>
      </c>
      <c r="R63" s="5">
        <f t="shared" si="10"/>
        <v>0</v>
      </c>
      <c r="S63" s="5">
        <f t="shared" si="11"/>
        <v>0</v>
      </c>
      <c r="T63" s="5">
        <f t="shared" si="12"/>
        <v>0</v>
      </c>
      <c r="U63" s="5">
        <f t="shared" si="13"/>
        <v>0</v>
      </c>
      <c r="V63" s="5">
        <f t="shared" si="0"/>
        <v>0</v>
      </c>
    </row>
    <row r="64" spans="1:22" ht="13.5" customHeight="1" x14ac:dyDescent="0.25">
      <c r="A64" s="594"/>
      <c r="B64" s="377"/>
      <c r="C64" s="377"/>
      <c r="D64" s="443">
        <f t="shared" si="1"/>
        <v>100</v>
      </c>
      <c r="E64" s="580"/>
      <c r="F64" s="580"/>
      <c r="J64" s="26">
        <f t="shared" si="2"/>
        <v>0</v>
      </c>
      <c r="K64" s="5">
        <f t="shared" si="3"/>
        <v>0</v>
      </c>
      <c r="L64" s="5">
        <f t="shared" si="4"/>
        <v>0</v>
      </c>
      <c r="M64" s="5">
        <f t="shared" si="5"/>
        <v>0</v>
      </c>
      <c r="N64" s="5">
        <f t="shared" si="6"/>
        <v>0</v>
      </c>
      <c r="O64" s="5">
        <f t="shared" si="7"/>
        <v>0</v>
      </c>
      <c r="P64" s="5">
        <f t="shared" si="8"/>
        <v>0</v>
      </c>
      <c r="Q64" s="5">
        <f t="shared" si="9"/>
        <v>0</v>
      </c>
      <c r="R64" s="5">
        <f t="shared" si="10"/>
        <v>0</v>
      </c>
      <c r="S64" s="5">
        <f t="shared" si="11"/>
        <v>0</v>
      </c>
      <c r="T64" s="5">
        <f t="shared" si="12"/>
        <v>0</v>
      </c>
      <c r="U64" s="5">
        <f t="shared" si="13"/>
        <v>0</v>
      </c>
      <c r="V64" s="5">
        <f t="shared" si="0"/>
        <v>0</v>
      </c>
    </row>
    <row r="65" spans="1:22" ht="13.5" customHeight="1" x14ac:dyDescent="0.25">
      <c r="A65" s="594"/>
      <c r="B65" s="377"/>
      <c r="C65" s="377"/>
      <c r="D65" s="443">
        <f t="shared" si="1"/>
        <v>100</v>
      </c>
      <c r="E65" s="580"/>
      <c r="F65" s="580"/>
      <c r="J65" s="26">
        <f t="shared" si="2"/>
        <v>0</v>
      </c>
      <c r="K65" s="5">
        <f t="shared" si="3"/>
        <v>0</v>
      </c>
      <c r="L65" s="5">
        <f t="shared" si="4"/>
        <v>0</v>
      </c>
      <c r="M65" s="5">
        <f t="shared" si="5"/>
        <v>0</v>
      </c>
      <c r="N65" s="5">
        <f t="shared" si="6"/>
        <v>0</v>
      </c>
      <c r="O65" s="5">
        <f t="shared" si="7"/>
        <v>0</v>
      </c>
      <c r="P65" s="5">
        <f t="shared" si="8"/>
        <v>0</v>
      </c>
      <c r="Q65" s="5">
        <f t="shared" si="9"/>
        <v>0</v>
      </c>
      <c r="R65" s="5">
        <f t="shared" si="10"/>
        <v>0</v>
      </c>
      <c r="S65" s="5">
        <f t="shared" si="11"/>
        <v>0</v>
      </c>
      <c r="T65" s="5">
        <f t="shared" si="12"/>
        <v>0</v>
      </c>
      <c r="U65" s="5">
        <f t="shared" si="13"/>
        <v>0</v>
      </c>
      <c r="V65" s="5">
        <f t="shared" si="0"/>
        <v>0</v>
      </c>
    </row>
    <row r="66" spans="1:22" ht="13.5" customHeight="1" x14ac:dyDescent="0.25">
      <c r="A66" s="594"/>
      <c r="B66" s="377"/>
      <c r="C66" s="377"/>
      <c r="D66" s="443">
        <f t="shared" si="1"/>
        <v>100</v>
      </c>
      <c r="E66" s="580"/>
      <c r="F66" s="580"/>
      <c r="J66" s="26">
        <f t="shared" si="2"/>
        <v>0</v>
      </c>
      <c r="K66" s="5">
        <f t="shared" si="3"/>
        <v>0</v>
      </c>
      <c r="L66" s="5">
        <f t="shared" si="4"/>
        <v>0</v>
      </c>
      <c r="M66" s="5">
        <f t="shared" si="5"/>
        <v>0</v>
      </c>
      <c r="N66" s="5">
        <f t="shared" si="6"/>
        <v>0</v>
      </c>
      <c r="O66" s="5">
        <f t="shared" si="7"/>
        <v>0</v>
      </c>
      <c r="P66" s="5">
        <f t="shared" si="8"/>
        <v>0</v>
      </c>
      <c r="Q66" s="5">
        <f t="shared" si="9"/>
        <v>0</v>
      </c>
      <c r="R66" s="5">
        <f t="shared" si="10"/>
        <v>0</v>
      </c>
      <c r="S66" s="5">
        <f t="shared" si="11"/>
        <v>0</v>
      </c>
      <c r="T66" s="5">
        <f t="shared" si="12"/>
        <v>0</v>
      </c>
      <c r="U66" s="5">
        <f t="shared" si="13"/>
        <v>0</v>
      </c>
      <c r="V66" s="5">
        <f t="shared" si="0"/>
        <v>0</v>
      </c>
    </row>
    <row r="67" spans="1:22" ht="13.5" customHeight="1" x14ac:dyDescent="0.25">
      <c r="A67" s="594"/>
      <c r="B67" s="377"/>
      <c r="C67" s="377"/>
      <c r="D67" s="443">
        <f t="shared" si="1"/>
        <v>100</v>
      </c>
      <c r="E67" s="580"/>
      <c r="F67" s="580"/>
      <c r="J67" s="26">
        <f t="shared" si="2"/>
        <v>0</v>
      </c>
      <c r="K67" s="5">
        <f t="shared" si="3"/>
        <v>0</v>
      </c>
      <c r="L67" s="5">
        <f t="shared" si="4"/>
        <v>0</v>
      </c>
      <c r="M67" s="5">
        <f t="shared" si="5"/>
        <v>0</v>
      </c>
      <c r="N67" s="5">
        <f t="shared" si="6"/>
        <v>0</v>
      </c>
      <c r="O67" s="5">
        <f t="shared" si="7"/>
        <v>0</v>
      </c>
      <c r="P67" s="5">
        <f t="shared" si="8"/>
        <v>0</v>
      </c>
      <c r="Q67" s="5">
        <f t="shared" si="9"/>
        <v>0</v>
      </c>
      <c r="R67" s="5">
        <f t="shared" si="10"/>
        <v>0</v>
      </c>
      <c r="S67" s="5">
        <f t="shared" si="11"/>
        <v>0</v>
      </c>
      <c r="T67" s="5">
        <f t="shared" si="12"/>
        <v>0</v>
      </c>
      <c r="U67" s="5">
        <f t="shared" si="13"/>
        <v>0</v>
      </c>
      <c r="V67" s="5">
        <f t="shared" si="0"/>
        <v>0</v>
      </c>
    </row>
    <row r="68" spans="1:22" ht="13.5" customHeight="1" x14ac:dyDescent="0.25">
      <c r="A68" s="594"/>
      <c r="B68" s="377"/>
      <c r="C68" s="377"/>
      <c r="D68" s="443">
        <f t="shared" si="1"/>
        <v>100</v>
      </c>
      <c r="E68" s="580"/>
      <c r="F68" s="580"/>
      <c r="J68" s="26">
        <f t="shared" si="2"/>
        <v>0</v>
      </c>
      <c r="K68" s="5">
        <f t="shared" si="3"/>
        <v>0</v>
      </c>
      <c r="L68" s="5">
        <f t="shared" si="4"/>
        <v>0</v>
      </c>
      <c r="M68" s="5">
        <f t="shared" si="5"/>
        <v>0</v>
      </c>
      <c r="N68" s="5">
        <f t="shared" si="6"/>
        <v>0</v>
      </c>
      <c r="O68" s="5">
        <f t="shared" si="7"/>
        <v>0</v>
      </c>
      <c r="P68" s="5">
        <f t="shared" si="8"/>
        <v>0</v>
      </c>
      <c r="Q68" s="5">
        <f t="shared" si="9"/>
        <v>0</v>
      </c>
      <c r="R68" s="5">
        <f t="shared" si="10"/>
        <v>0</v>
      </c>
      <c r="S68" s="5">
        <f t="shared" si="11"/>
        <v>0</v>
      </c>
      <c r="T68" s="5">
        <f t="shared" si="12"/>
        <v>0</v>
      </c>
      <c r="U68" s="5">
        <f t="shared" si="13"/>
        <v>0</v>
      </c>
      <c r="V68" s="5">
        <f t="shared" si="0"/>
        <v>0</v>
      </c>
    </row>
    <row r="69" spans="1:22" ht="13.5" customHeight="1" x14ac:dyDescent="0.25">
      <c r="A69" s="594"/>
      <c r="B69" s="377"/>
      <c r="C69" s="377"/>
      <c r="D69" s="443">
        <f t="shared" si="1"/>
        <v>100</v>
      </c>
      <c r="E69" s="580"/>
      <c r="F69" s="580"/>
      <c r="J69" s="26">
        <f t="shared" si="2"/>
        <v>0</v>
      </c>
      <c r="K69" s="5">
        <f t="shared" si="3"/>
        <v>0</v>
      </c>
      <c r="L69" s="5">
        <f t="shared" si="4"/>
        <v>0</v>
      </c>
      <c r="M69" s="5">
        <f t="shared" si="5"/>
        <v>0</v>
      </c>
      <c r="N69" s="5">
        <f t="shared" si="6"/>
        <v>0</v>
      </c>
      <c r="O69" s="5">
        <f t="shared" si="7"/>
        <v>0</v>
      </c>
      <c r="P69" s="5">
        <f t="shared" si="8"/>
        <v>0</v>
      </c>
      <c r="Q69" s="5">
        <f t="shared" si="9"/>
        <v>0</v>
      </c>
      <c r="R69" s="5">
        <f t="shared" si="10"/>
        <v>0</v>
      </c>
      <c r="S69" s="5">
        <f t="shared" si="11"/>
        <v>0</v>
      </c>
      <c r="T69" s="5">
        <f t="shared" si="12"/>
        <v>0</v>
      </c>
      <c r="U69" s="5">
        <f t="shared" si="13"/>
        <v>0</v>
      </c>
      <c r="V69" s="5">
        <f t="shared" si="0"/>
        <v>0</v>
      </c>
    </row>
    <row r="70" spans="1:22" ht="13.5" customHeight="1" x14ac:dyDescent="0.25">
      <c r="A70" s="594"/>
      <c r="B70" s="377"/>
      <c r="C70" s="377"/>
      <c r="D70" s="443">
        <f t="shared" si="1"/>
        <v>100</v>
      </c>
      <c r="E70" s="580"/>
      <c r="F70" s="580"/>
      <c r="J70" s="26">
        <f t="shared" si="2"/>
        <v>0</v>
      </c>
      <c r="K70" s="5">
        <f t="shared" si="3"/>
        <v>0</v>
      </c>
      <c r="L70" s="5">
        <f t="shared" si="4"/>
        <v>0</v>
      </c>
      <c r="M70" s="5">
        <f t="shared" si="5"/>
        <v>0</v>
      </c>
      <c r="N70" s="5">
        <f t="shared" si="6"/>
        <v>0</v>
      </c>
      <c r="O70" s="5">
        <f t="shared" si="7"/>
        <v>0</v>
      </c>
      <c r="P70" s="5">
        <f t="shared" si="8"/>
        <v>0</v>
      </c>
      <c r="Q70" s="5">
        <f t="shared" si="9"/>
        <v>0</v>
      </c>
      <c r="R70" s="5">
        <f t="shared" si="10"/>
        <v>0</v>
      </c>
      <c r="S70" s="5">
        <f t="shared" si="11"/>
        <v>0</v>
      </c>
      <c r="T70" s="5">
        <f t="shared" si="12"/>
        <v>0</v>
      </c>
      <c r="U70" s="5">
        <f t="shared" si="13"/>
        <v>0</v>
      </c>
      <c r="V70" s="5">
        <f t="shared" si="0"/>
        <v>0</v>
      </c>
    </row>
    <row r="71" spans="1:22" ht="13.5" customHeight="1" x14ac:dyDescent="0.25">
      <c r="A71" s="594"/>
      <c r="B71" s="377"/>
      <c r="C71" s="377"/>
      <c r="D71" s="443">
        <f t="shared" si="1"/>
        <v>100</v>
      </c>
      <c r="E71" s="580"/>
      <c r="F71" s="580"/>
      <c r="J71" s="26">
        <f t="shared" si="2"/>
        <v>0</v>
      </c>
      <c r="K71" s="5">
        <f t="shared" si="3"/>
        <v>0</v>
      </c>
      <c r="L71" s="5">
        <f t="shared" si="4"/>
        <v>0</v>
      </c>
      <c r="M71" s="5">
        <f t="shared" si="5"/>
        <v>0</v>
      </c>
      <c r="N71" s="5">
        <f t="shared" si="6"/>
        <v>0</v>
      </c>
      <c r="O71" s="5">
        <f t="shared" si="7"/>
        <v>0</v>
      </c>
      <c r="P71" s="5">
        <f t="shared" si="8"/>
        <v>0</v>
      </c>
      <c r="Q71" s="5">
        <f t="shared" si="9"/>
        <v>0</v>
      </c>
      <c r="R71" s="5">
        <f t="shared" si="10"/>
        <v>0</v>
      </c>
      <c r="S71" s="5">
        <f t="shared" si="11"/>
        <v>0</v>
      </c>
      <c r="T71" s="5">
        <f t="shared" si="12"/>
        <v>0</v>
      </c>
      <c r="U71" s="5">
        <f t="shared" si="13"/>
        <v>0</v>
      </c>
      <c r="V71" s="5">
        <f t="shared" si="0"/>
        <v>0</v>
      </c>
    </row>
    <row r="72" spans="1:22" ht="13.5" customHeight="1" x14ac:dyDescent="0.25">
      <c r="A72" s="594"/>
      <c r="B72" s="377"/>
      <c r="C72" s="377"/>
      <c r="D72" s="443">
        <f t="shared" si="1"/>
        <v>100</v>
      </c>
      <c r="E72" s="580"/>
      <c r="F72" s="580"/>
      <c r="J72" s="26">
        <f t="shared" si="2"/>
        <v>0</v>
      </c>
      <c r="K72" s="5">
        <f t="shared" si="3"/>
        <v>0</v>
      </c>
      <c r="L72" s="5">
        <f t="shared" si="4"/>
        <v>0</v>
      </c>
      <c r="M72" s="5">
        <f t="shared" si="5"/>
        <v>0</v>
      </c>
      <c r="N72" s="5">
        <f t="shared" si="6"/>
        <v>0</v>
      </c>
      <c r="O72" s="5">
        <f t="shared" si="7"/>
        <v>0</v>
      </c>
      <c r="P72" s="5">
        <f t="shared" si="8"/>
        <v>0</v>
      </c>
      <c r="Q72" s="5">
        <f t="shared" si="9"/>
        <v>0</v>
      </c>
      <c r="R72" s="5">
        <f t="shared" si="10"/>
        <v>0</v>
      </c>
      <c r="S72" s="5">
        <f t="shared" si="11"/>
        <v>0</v>
      </c>
      <c r="T72" s="5">
        <f t="shared" si="12"/>
        <v>0</v>
      </c>
      <c r="U72" s="5">
        <f t="shared" si="13"/>
        <v>0</v>
      </c>
      <c r="V72" s="5">
        <f t="shared" si="0"/>
        <v>0</v>
      </c>
    </row>
    <row r="73" spans="1:22" ht="13.5" customHeight="1" x14ac:dyDescent="0.25">
      <c r="A73" s="594"/>
      <c r="B73" s="377"/>
      <c r="C73" s="377"/>
      <c r="D73" s="443">
        <f t="shared" si="1"/>
        <v>100</v>
      </c>
      <c r="E73" s="580"/>
      <c r="F73" s="580"/>
      <c r="J73" s="26">
        <f t="shared" si="2"/>
        <v>0</v>
      </c>
      <c r="K73" s="5">
        <f t="shared" si="3"/>
        <v>0</v>
      </c>
      <c r="L73" s="5">
        <f t="shared" si="4"/>
        <v>0</v>
      </c>
      <c r="M73" s="5">
        <f t="shared" si="5"/>
        <v>0</v>
      </c>
      <c r="N73" s="5">
        <f t="shared" si="6"/>
        <v>0</v>
      </c>
      <c r="O73" s="5">
        <f t="shared" si="7"/>
        <v>0</v>
      </c>
      <c r="P73" s="5">
        <f t="shared" si="8"/>
        <v>0</v>
      </c>
      <c r="Q73" s="5">
        <f t="shared" si="9"/>
        <v>0</v>
      </c>
      <c r="R73" s="5">
        <f t="shared" si="10"/>
        <v>0</v>
      </c>
      <c r="S73" s="5">
        <f t="shared" si="11"/>
        <v>0</v>
      </c>
      <c r="T73" s="5">
        <f t="shared" si="12"/>
        <v>0</v>
      </c>
      <c r="U73" s="5">
        <f t="shared" si="13"/>
        <v>0</v>
      </c>
      <c r="V73" s="5">
        <f t="shared" si="0"/>
        <v>0</v>
      </c>
    </row>
    <row r="74" spans="1:22" ht="13.5" customHeight="1" x14ac:dyDescent="0.25">
      <c r="A74" s="594"/>
      <c r="B74" s="377"/>
      <c r="C74" s="377"/>
      <c r="D74" s="443">
        <f t="shared" si="1"/>
        <v>100</v>
      </c>
      <c r="E74" s="580"/>
      <c r="F74" s="580"/>
      <c r="J74" s="26">
        <f t="shared" si="2"/>
        <v>0</v>
      </c>
      <c r="K74" s="5">
        <f t="shared" si="3"/>
        <v>0</v>
      </c>
      <c r="L74" s="5">
        <f t="shared" si="4"/>
        <v>0</v>
      </c>
      <c r="M74" s="5">
        <f t="shared" si="5"/>
        <v>0</v>
      </c>
      <c r="N74" s="5">
        <f t="shared" si="6"/>
        <v>0</v>
      </c>
      <c r="O74" s="5">
        <f t="shared" si="7"/>
        <v>0</v>
      </c>
      <c r="P74" s="5">
        <f t="shared" si="8"/>
        <v>0</v>
      </c>
      <c r="Q74" s="5">
        <f t="shared" si="9"/>
        <v>0</v>
      </c>
      <c r="R74" s="5">
        <f t="shared" si="10"/>
        <v>0</v>
      </c>
      <c r="S74" s="5">
        <f t="shared" si="11"/>
        <v>0</v>
      </c>
      <c r="T74" s="5">
        <f t="shared" si="12"/>
        <v>0</v>
      </c>
      <c r="U74" s="5">
        <f t="shared" si="13"/>
        <v>0</v>
      </c>
      <c r="V74" s="5">
        <f t="shared" si="0"/>
        <v>0</v>
      </c>
    </row>
    <row r="75" spans="1:22" ht="13.5" customHeight="1" x14ac:dyDescent="0.25">
      <c r="A75" s="594"/>
      <c r="B75" s="377"/>
      <c r="C75" s="377"/>
      <c r="D75" s="443">
        <f t="shared" si="1"/>
        <v>100</v>
      </c>
      <c r="E75" s="580"/>
      <c r="F75" s="580"/>
      <c r="J75" s="26">
        <f t="shared" si="2"/>
        <v>0</v>
      </c>
      <c r="K75" s="5">
        <f t="shared" si="3"/>
        <v>0</v>
      </c>
      <c r="L75" s="5">
        <f t="shared" si="4"/>
        <v>0</v>
      </c>
      <c r="M75" s="5">
        <f t="shared" si="5"/>
        <v>0</v>
      </c>
      <c r="N75" s="5">
        <f t="shared" si="6"/>
        <v>0</v>
      </c>
      <c r="O75" s="5">
        <f t="shared" si="7"/>
        <v>0</v>
      </c>
      <c r="P75" s="5">
        <f t="shared" si="8"/>
        <v>0</v>
      </c>
      <c r="Q75" s="5">
        <f t="shared" si="9"/>
        <v>0</v>
      </c>
      <c r="R75" s="5">
        <f t="shared" si="10"/>
        <v>0</v>
      </c>
      <c r="S75" s="5">
        <f t="shared" si="11"/>
        <v>0</v>
      </c>
      <c r="T75" s="5">
        <f t="shared" si="12"/>
        <v>0</v>
      </c>
      <c r="U75" s="5">
        <f t="shared" si="13"/>
        <v>0</v>
      </c>
      <c r="V75" s="5">
        <f t="shared" si="0"/>
        <v>0</v>
      </c>
    </row>
    <row r="76" spans="1:22" ht="13.5" customHeight="1" x14ac:dyDescent="0.25">
      <c r="A76" s="594"/>
      <c r="B76" s="377"/>
      <c r="C76" s="377"/>
      <c r="D76" s="443">
        <f t="shared" si="1"/>
        <v>100</v>
      </c>
      <c r="E76" s="580"/>
      <c r="F76" s="580"/>
      <c r="J76" s="26">
        <f t="shared" si="2"/>
        <v>0</v>
      </c>
      <c r="K76" s="5">
        <f t="shared" si="3"/>
        <v>0</v>
      </c>
      <c r="L76" s="5">
        <f t="shared" si="4"/>
        <v>0</v>
      </c>
      <c r="M76" s="5">
        <f t="shared" si="5"/>
        <v>0</v>
      </c>
      <c r="N76" s="5">
        <f t="shared" si="6"/>
        <v>0</v>
      </c>
      <c r="O76" s="5">
        <f t="shared" si="7"/>
        <v>0</v>
      </c>
      <c r="P76" s="5">
        <f t="shared" si="8"/>
        <v>0</v>
      </c>
      <c r="Q76" s="5">
        <f t="shared" si="9"/>
        <v>0</v>
      </c>
      <c r="R76" s="5">
        <f t="shared" si="10"/>
        <v>0</v>
      </c>
      <c r="S76" s="5">
        <f t="shared" si="11"/>
        <v>0</v>
      </c>
      <c r="T76" s="5">
        <f t="shared" si="12"/>
        <v>0</v>
      </c>
      <c r="U76" s="5">
        <f t="shared" si="13"/>
        <v>0</v>
      </c>
      <c r="V76" s="5">
        <f t="shared" si="0"/>
        <v>0</v>
      </c>
    </row>
    <row r="77" spans="1:22" ht="13.5" customHeight="1" x14ac:dyDescent="0.25">
      <c r="A77" s="594"/>
      <c r="B77" s="377"/>
      <c r="C77" s="377"/>
      <c r="D77" s="443">
        <f t="shared" si="1"/>
        <v>100</v>
      </c>
      <c r="E77" s="580"/>
      <c r="F77" s="580"/>
      <c r="J77" s="26">
        <f t="shared" si="2"/>
        <v>0</v>
      </c>
      <c r="K77" s="5">
        <f t="shared" si="3"/>
        <v>0</v>
      </c>
      <c r="L77" s="5">
        <f t="shared" si="4"/>
        <v>0</v>
      </c>
      <c r="M77" s="5">
        <f t="shared" si="5"/>
        <v>0</v>
      </c>
      <c r="N77" s="5">
        <f t="shared" si="6"/>
        <v>0</v>
      </c>
      <c r="O77" s="5">
        <f t="shared" si="7"/>
        <v>0</v>
      </c>
      <c r="P77" s="5">
        <f t="shared" si="8"/>
        <v>0</v>
      </c>
      <c r="Q77" s="5">
        <f t="shared" si="9"/>
        <v>0</v>
      </c>
      <c r="R77" s="5">
        <f t="shared" si="10"/>
        <v>0</v>
      </c>
      <c r="S77" s="5">
        <f t="shared" si="11"/>
        <v>0</v>
      </c>
      <c r="T77" s="5">
        <f t="shared" si="12"/>
        <v>0</v>
      </c>
      <c r="U77" s="5">
        <f t="shared" si="13"/>
        <v>0</v>
      </c>
      <c r="V77" s="5">
        <f t="shared" si="0"/>
        <v>0</v>
      </c>
    </row>
    <row r="78" spans="1:22" ht="13.5" customHeight="1" x14ac:dyDescent="0.25">
      <c r="A78" s="594"/>
      <c r="B78" s="377"/>
      <c r="C78" s="377"/>
      <c r="D78" s="443">
        <f t="shared" si="1"/>
        <v>100</v>
      </c>
      <c r="E78" s="580"/>
      <c r="F78" s="580"/>
      <c r="J78" s="26">
        <f t="shared" si="2"/>
        <v>0</v>
      </c>
      <c r="K78" s="5">
        <f t="shared" si="3"/>
        <v>0</v>
      </c>
      <c r="L78" s="5">
        <f t="shared" si="4"/>
        <v>0</v>
      </c>
      <c r="M78" s="5">
        <f t="shared" si="5"/>
        <v>0</v>
      </c>
      <c r="N78" s="5">
        <f t="shared" si="6"/>
        <v>0</v>
      </c>
      <c r="O78" s="5">
        <f t="shared" si="7"/>
        <v>0</v>
      </c>
      <c r="P78" s="5">
        <f t="shared" si="8"/>
        <v>0</v>
      </c>
      <c r="Q78" s="5">
        <f t="shared" si="9"/>
        <v>0</v>
      </c>
      <c r="R78" s="5">
        <f t="shared" si="10"/>
        <v>0</v>
      </c>
      <c r="S78" s="5">
        <f t="shared" si="11"/>
        <v>0</v>
      </c>
      <c r="T78" s="5">
        <f t="shared" si="12"/>
        <v>0</v>
      </c>
      <c r="U78" s="5">
        <f t="shared" si="13"/>
        <v>0</v>
      </c>
      <c r="V78" s="5">
        <f t="shared" si="0"/>
        <v>0</v>
      </c>
    </row>
    <row r="79" spans="1:22" ht="13.5" customHeight="1" x14ac:dyDescent="0.25">
      <c r="A79" s="594"/>
      <c r="B79" s="377"/>
      <c r="C79" s="377"/>
      <c r="D79" s="443">
        <f t="shared" si="1"/>
        <v>100</v>
      </c>
      <c r="E79" s="580"/>
      <c r="F79" s="580"/>
      <c r="J79" s="26">
        <f t="shared" si="2"/>
        <v>0</v>
      </c>
      <c r="K79" s="5">
        <f t="shared" si="3"/>
        <v>0</v>
      </c>
      <c r="L79" s="5">
        <f t="shared" si="4"/>
        <v>0</v>
      </c>
      <c r="M79" s="5">
        <f t="shared" si="5"/>
        <v>0</v>
      </c>
      <c r="N79" s="5">
        <f t="shared" si="6"/>
        <v>0</v>
      </c>
      <c r="O79" s="5">
        <f t="shared" si="7"/>
        <v>0</v>
      </c>
      <c r="P79" s="5">
        <f t="shared" si="8"/>
        <v>0</v>
      </c>
      <c r="Q79" s="5">
        <f t="shared" si="9"/>
        <v>0</v>
      </c>
      <c r="R79" s="5">
        <f t="shared" si="10"/>
        <v>0</v>
      </c>
      <c r="S79" s="5">
        <f t="shared" si="11"/>
        <v>0</v>
      </c>
      <c r="T79" s="5">
        <f t="shared" si="12"/>
        <v>0</v>
      </c>
      <c r="U79" s="5">
        <f t="shared" si="13"/>
        <v>0</v>
      </c>
      <c r="V79" s="5">
        <f t="shared" si="0"/>
        <v>0</v>
      </c>
    </row>
    <row r="80" spans="1:22" ht="13.5" customHeight="1" x14ac:dyDescent="0.25">
      <c r="A80" s="594"/>
      <c r="B80" s="377"/>
      <c r="C80" s="377"/>
      <c r="D80" s="443">
        <f t="shared" si="1"/>
        <v>100</v>
      </c>
      <c r="E80" s="580"/>
      <c r="F80" s="580"/>
      <c r="J80" s="26">
        <f t="shared" si="2"/>
        <v>0</v>
      </c>
      <c r="K80" s="5">
        <f t="shared" si="3"/>
        <v>0</v>
      </c>
      <c r="L80" s="5">
        <f t="shared" si="4"/>
        <v>0</v>
      </c>
      <c r="M80" s="5">
        <f t="shared" si="5"/>
        <v>0</v>
      </c>
      <c r="N80" s="5">
        <f t="shared" si="6"/>
        <v>0</v>
      </c>
      <c r="O80" s="5">
        <f t="shared" si="7"/>
        <v>0</v>
      </c>
      <c r="P80" s="5">
        <f t="shared" si="8"/>
        <v>0</v>
      </c>
      <c r="Q80" s="5">
        <f t="shared" si="9"/>
        <v>0</v>
      </c>
      <c r="R80" s="5">
        <f t="shared" si="10"/>
        <v>0</v>
      </c>
      <c r="S80" s="5">
        <f t="shared" si="11"/>
        <v>0</v>
      </c>
      <c r="T80" s="5">
        <f t="shared" si="12"/>
        <v>0</v>
      </c>
      <c r="U80" s="5">
        <f t="shared" si="13"/>
        <v>0</v>
      </c>
      <c r="V80" s="5">
        <f t="shared" si="0"/>
        <v>0</v>
      </c>
    </row>
    <row r="81" spans="1:22" ht="13.5" customHeight="1" x14ac:dyDescent="0.25">
      <c r="A81" s="594"/>
      <c r="B81" s="377"/>
      <c r="C81" s="377"/>
      <c r="D81" s="443">
        <f t="shared" si="1"/>
        <v>100</v>
      </c>
      <c r="E81" s="580"/>
      <c r="F81" s="580"/>
      <c r="J81" s="26">
        <f t="shared" si="2"/>
        <v>0</v>
      </c>
      <c r="K81" s="5">
        <f t="shared" si="3"/>
        <v>0</v>
      </c>
      <c r="L81" s="5">
        <f t="shared" si="4"/>
        <v>0</v>
      </c>
      <c r="M81" s="5">
        <f t="shared" si="5"/>
        <v>0</v>
      </c>
      <c r="N81" s="5">
        <f t="shared" si="6"/>
        <v>0</v>
      </c>
      <c r="O81" s="5">
        <f t="shared" si="7"/>
        <v>0</v>
      </c>
      <c r="P81" s="5">
        <f t="shared" si="8"/>
        <v>0</v>
      </c>
      <c r="Q81" s="5">
        <f t="shared" si="9"/>
        <v>0</v>
      </c>
      <c r="R81" s="5">
        <f t="shared" si="10"/>
        <v>0</v>
      </c>
      <c r="S81" s="5">
        <f t="shared" si="11"/>
        <v>0</v>
      </c>
      <c r="T81" s="5">
        <f t="shared" si="12"/>
        <v>0</v>
      </c>
      <c r="U81" s="5">
        <f t="shared" si="13"/>
        <v>0</v>
      </c>
      <c r="V81" s="5">
        <f t="shared" si="0"/>
        <v>0</v>
      </c>
    </row>
    <row r="82" spans="1:22" ht="13.5" customHeight="1" x14ac:dyDescent="0.25">
      <c r="A82" s="594"/>
      <c r="B82" s="377"/>
      <c r="C82" s="377"/>
      <c r="D82" s="443">
        <f t="shared" si="1"/>
        <v>100</v>
      </c>
      <c r="E82" s="580"/>
      <c r="F82" s="580"/>
      <c r="J82" s="26">
        <f t="shared" si="2"/>
        <v>0</v>
      </c>
      <c r="K82" s="5">
        <f t="shared" si="3"/>
        <v>0</v>
      </c>
      <c r="L82" s="5">
        <f t="shared" si="4"/>
        <v>0</v>
      </c>
      <c r="M82" s="5">
        <f t="shared" si="5"/>
        <v>0</v>
      </c>
      <c r="N82" s="5">
        <f t="shared" si="6"/>
        <v>0</v>
      </c>
      <c r="O82" s="5">
        <f t="shared" si="7"/>
        <v>0</v>
      </c>
      <c r="P82" s="5">
        <f t="shared" si="8"/>
        <v>0</v>
      </c>
      <c r="Q82" s="5">
        <f t="shared" si="9"/>
        <v>0</v>
      </c>
      <c r="R82" s="5">
        <f t="shared" si="10"/>
        <v>0</v>
      </c>
      <c r="S82" s="5">
        <f t="shared" si="11"/>
        <v>0</v>
      </c>
      <c r="T82" s="5">
        <f t="shared" si="12"/>
        <v>0</v>
      </c>
      <c r="U82" s="5">
        <f t="shared" si="13"/>
        <v>0</v>
      </c>
      <c r="V82" s="5">
        <f t="shared" si="0"/>
        <v>0</v>
      </c>
    </row>
    <row r="83" spans="1:22" ht="13.5" customHeight="1" x14ac:dyDescent="0.25">
      <c r="A83" s="594"/>
      <c r="B83" s="377"/>
      <c r="C83" s="377"/>
      <c r="D83" s="443">
        <f t="shared" si="1"/>
        <v>100</v>
      </c>
      <c r="E83" s="580"/>
      <c r="F83" s="580"/>
      <c r="J83" s="26">
        <f t="shared" si="2"/>
        <v>0</v>
      </c>
      <c r="K83" s="5">
        <f t="shared" si="3"/>
        <v>0</v>
      </c>
      <c r="L83" s="5">
        <f t="shared" si="4"/>
        <v>0</v>
      </c>
      <c r="M83" s="5">
        <f t="shared" si="5"/>
        <v>0</v>
      </c>
      <c r="N83" s="5">
        <f t="shared" si="6"/>
        <v>0</v>
      </c>
      <c r="O83" s="5">
        <f t="shared" si="7"/>
        <v>0</v>
      </c>
      <c r="P83" s="5">
        <f t="shared" si="8"/>
        <v>0</v>
      </c>
      <c r="Q83" s="5">
        <f t="shared" si="9"/>
        <v>0</v>
      </c>
      <c r="R83" s="5">
        <f t="shared" si="10"/>
        <v>0</v>
      </c>
      <c r="S83" s="5">
        <f t="shared" si="11"/>
        <v>0</v>
      </c>
      <c r="T83" s="5">
        <f t="shared" si="12"/>
        <v>0</v>
      </c>
      <c r="U83" s="5">
        <f t="shared" si="13"/>
        <v>0</v>
      </c>
      <c r="V83" s="5">
        <f t="shared" si="0"/>
        <v>0</v>
      </c>
    </row>
    <row r="84" spans="1:22" ht="13.5" customHeight="1" x14ac:dyDescent="0.25">
      <c r="A84" s="594"/>
      <c r="B84" s="377"/>
      <c r="C84" s="377"/>
      <c r="D84" s="443">
        <f t="shared" si="1"/>
        <v>100</v>
      </c>
      <c r="E84" s="580"/>
      <c r="F84" s="580"/>
      <c r="J84" s="26">
        <f t="shared" si="2"/>
        <v>0</v>
      </c>
      <c r="K84" s="5">
        <f t="shared" si="3"/>
        <v>0</v>
      </c>
      <c r="L84" s="5">
        <f t="shared" si="4"/>
        <v>0</v>
      </c>
      <c r="M84" s="5">
        <f t="shared" si="5"/>
        <v>0</v>
      </c>
      <c r="N84" s="5">
        <f t="shared" si="6"/>
        <v>0</v>
      </c>
      <c r="O84" s="5">
        <f t="shared" si="7"/>
        <v>0</v>
      </c>
      <c r="P84" s="5">
        <f t="shared" si="8"/>
        <v>0</v>
      </c>
      <c r="Q84" s="5">
        <f t="shared" si="9"/>
        <v>0</v>
      </c>
      <c r="R84" s="5">
        <f t="shared" si="10"/>
        <v>0</v>
      </c>
      <c r="S84" s="5">
        <f t="shared" si="11"/>
        <v>0</v>
      </c>
      <c r="T84" s="5">
        <f t="shared" si="12"/>
        <v>0</v>
      </c>
      <c r="U84" s="5">
        <f t="shared" si="13"/>
        <v>0</v>
      </c>
      <c r="V84" s="5">
        <f t="shared" si="0"/>
        <v>0</v>
      </c>
    </row>
    <row r="85" spans="1:22" ht="13.5" customHeight="1" x14ac:dyDescent="0.25">
      <c r="A85" s="594"/>
      <c r="B85" s="377"/>
      <c r="C85" s="377"/>
      <c r="D85" s="443">
        <f t="shared" si="1"/>
        <v>100</v>
      </c>
      <c r="E85" s="580"/>
      <c r="F85" s="580"/>
      <c r="J85" s="26">
        <f t="shared" si="2"/>
        <v>0</v>
      </c>
      <c r="K85" s="5">
        <f t="shared" si="3"/>
        <v>0</v>
      </c>
      <c r="L85" s="5">
        <f t="shared" si="4"/>
        <v>0</v>
      </c>
      <c r="M85" s="5">
        <f t="shared" si="5"/>
        <v>0</v>
      </c>
      <c r="N85" s="5">
        <f t="shared" si="6"/>
        <v>0</v>
      </c>
      <c r="O85" s="5">
        <f t="shared" si="7"/>
        <v>0</v>
      </c>
      <c r="P85" s="5">
        <f t="shared" si="8"/>
        <v>0</v>
      </c>
      <c r="Q85" s="5">
        <f t="shared" si="9"/>
        <v>0</v>
      </c>
      <c r="R85" s="5">
        <f t="shared" si="10"/>
        <v>0</v>
      </c>
      <c r="S85" s="5">
        <f t="shared" si="11"/>
        <v>0</v>
      </c>
      <c r="T85" s="5">
        <f t="shared" si="12"/>
        <v>0</v>
      </c>
      <c r="U85" s="5">
        <f t="shared" si="13"/>
        <v>0</v>
      </c>
      <c r="V85" s="5">
        <f t="shared" si="0"/>
        <v>0</v>
      </c>
    </row>
    <row r="86" spans="1:22" ht="13.5" customHeight="1" x14ac:dyDescent="0.25">
      <c r="A86" s="594"/>
      <c r="B86" s="377"/>
      <c r="C86" s="377"/>
      <c r="D86" s="443">
        <f t="shared" si="1"/>
        <v>100</v>
      </c>
      <c r="E86" s="580"/>
      <c r="F86" s="580"/>
      <c r="J86" s="26">
        <f t="shared" si="2"/>
        <v>0</v>
      </c>
      <c r="K86" s="5">
        <f t="shared" si="3"/>
        <v>0</v>
      </c>
      <c r="L86" s="5">
        <f t="shared" si="4"/>
        <v>0</v>
      </c>
      <c r="M86" s="5">
        <f t="shared" si="5"/>
        <v>0</v>
      </c>
      <c r="N86" s="5">
        <f t="shared" si="6"/>
        <v>0</v>
      </c>
      <c r="O86" s="5">
        <f t="shared" si="7"/>
        <v>0</v>
      </c>
      <c r="P86" s="5">
        <f t="shared" si="8"/>
        <v>0</v>
      </c>
      <c r="Q86" s="5">
        <f t="shared" si="9"/>
        <v>0</v>
      </c>
      <c r="R86" s="5">
        <f t="shared" si="10"/>
        <v>0</v>
      </c>
      <c r="S86" s="5">
        <f t="shared" si="11"/>
        <v>0</v>
      </c>
      <c r="T86" s="5">
        <f t="shared" si="12"/>
        <v>0</v>
      </c>
      <c r="U86" s="5">
        <f t="shared" si="13"/>
        <v>0</v>
      </c>
      <c r="V86" s="5">
        <f t="shared" si="0"/>
        <v>0</v>
      </c>
    </row>
    <row r="87" spans="1:22" ht="13.5" customHeight="1" x14ac:dyDescent="0.25">
      <c r="A87" s="594"/>
      <c r="B87" s="377"/>
      <c r="C87" s="377"/>
      <c r="D87" s="443">
        <f t="shared" si="1"/>
        <v>100</v>
      </c>
      <c r="E87" s="580"/>
      <c r="F87" s="580"/>
      <c r="J87" s="26">
        <f t="shared" si="2"/>
        <v>0</v>
      </c>
      <c r="K87" s="5">
        <f t="shared" si="3"/>
        <v>0</v>
      </c>
      <c r="L87" s="5">
        <f t="shared" si="4"/>
        <v>0</v>
      </c>
      <c r="M87" s="5">
        <f t="shared" si="5"/>
        <v>0</v>
      </c>
      <c r="N87" s="5">
        <f t="shared" si="6"/>
        <v>0</v>
      </c>
      <c r="O87" s="5">
        <f t="shared" si="7"/>
        <v>0</v>
      </c>
      <c r="P87" s="5">
        <f t="shared" si="8"/>
        <v>0</v>
      </c>
      <c r="Q87" s="5">
        <f t="shared" si="9"/>
        <v>0</v>
      </c>
      <c r="R87" s="5">
        <f t="shared" si="10"/>
        <v>0</v>
      </c>
      <c r="S87" s="5">
        <f t="shared" si="11"/>
        <v>0</v>
      </c>
      <c r="T87" s="5">
        <f t="shared" si="12"/>
        <v>0</v>
      </c>
      <c r="U87" s="5">
        <f t="shared" si="13"/>
        <v>0</v>
      </c>
      <c r="V87" s="5">
        <f t="shared" si="0"/>
        <v>0</v>
      </c>
    </row>
    <row r="88" spans="1:22" ht="13.5" customHeight="1" x14ac:dyDescent="0.25">
      <c r="A88" s="594"/>
      <c r="B88" s="377"/>
      <c r="C88" s="377"/>
      <c r="D88" s="443">
        <f t="shared" si="1"/>
        <v>100</v>
      </c>
      <c r="E88" s="580"/>
      <c r="F88" s="580"/>
      <c r="J88" s="26">
        <f t="shared" si="2"/>
        <v>0</v>
      </c>
      <c r="K88" s="5">
        <f t="shared" si="3"/>
        <v>0</v>
      </c>
      <c r="L88" s="5">
        <f t="shared" si="4"/>
        <v>0</v>
      </c>
      <c r="M88" s="5">
        <f t="shared" si="5"/>
        <v>0</v>
      </c>
      <c r="N88" s="5">
        <f t="shared" si="6"/>
        <v>0</v>
      </c>
      <c r="O88" s="5">
        <f t="shared" si="7"/>
        <v>0</v>
      </c>
      <c r="P88" s="5">
        <f t="shared" si="8"/>
        <v>0</v>
      </c>
      <c r="Q88" s="5">
        <f t="shared" si="9"/>
        <v>0</v>
      </c>
      <c r="R88" s="5">
        <f t="shared" si="10"/>
        <v>0</v>
      </c>
      <c r="S88" s="5">
        <f t="shared" si="11"/>
        <v>0</v>
      </c>
      <c r="T88" s="5">
        <f t="shared" si="12"/>
        <v>0</v>
      </c>
      <c r="U88" s="5">
        <f t="shared" si="13"/>
        <v>0</v>
      </c>
      <c r="V88" s="5">
        <f t="shared" si="0"/>
        <v>0</v>
      </c>
    </row>
    <row r="89" spans="1:22" ht="13.5" customHeight="1" x14ac:dyDescent="0.25">
      <c r="A89" s="594"/>
      <c r="B89" s="377"/>
      <c r="C89" s="377"/>
      <c r="D89" s="443">
        <f t="shared" si="1"/>
        <v>100</v>
      </c>
      <c r="E89" s="580"/>
      <c r="F89" s="580"/>
      <c r="J89" s="26">
        <f t="shared" si="2"/>
        <v>0</v>
      </c>
      <c r="K89" s="5">
        <f t="shared" si="3"/>
        <v>0</v>
      </c>
      <c r="L89" s="5">
        <f t="shared" si="4"/>
        <v>0</v>
      </c>
      <c r="M89" s="5">
        <f t="shared" si="5"/>
        <v>0</v>
      </c>
      <c r="N89" s="5">
        <f t="shared" si="6"/>
        <v>0</v>
      </c>
      <c r="O89" s="5">
        <f t="shared" si="7"/>
        <v>0</v>
      </c>
      <c r="P89" s="5">
        <f t="shared" si="8"/>
        <v>0</v>
      </c>
      <c r="Q89" s="5">
        <f t="shared" si="9"/>
        <v>0</v>
      </c>
      <c r="R89" s="5">
        <f t="shared" si="10"/>
        <v>0</v>
      </c>
      <c r="S89" s="5">
        <f t="shared" si="11"/>
        <v>0</v>
      </c>
      <c r="T89" s="5">
        <f t="shared" si="12"/>
        <v>0</v>
      </c>
      <c r="U89" s="5">
        <f t="shared" si="13"/>
        <v>0</v>
      </c>
      <c r="V89" s="5">
        <f t="shared" si="0"/>
        <v>0</v>
      </c>
    </row>
    <row r="90" spans="1:22" ht="13.5" customHeight="1" x14ac:dyDescent="0.25">
      <c r="A90" s="594"/>
      <c r="B90" s="377"/>
      <c r="C90" s="377"/>
      <c r="D90" s="443">
        <f t="shared" ref="D90:D153" si="14">B90-C90+D89</f>
        <v>100</v>
      </c>
      <c r="E90" s="580"/>
      <c r="F90" s="580"/>
      <c r="J90" s="26">
        <f t="shared" si="2"/>
        <v>0</v>
      </c>
      <c r="K90" s="5">
        <f t="shared" si="3"/>
        <v>0</v>
      </c>
      <c r="L90" s="5">
        <f t="shared" si="4"/>
        <v>0</v>
      </c>
      <c r="M90" s="5">
        <f t="shared" si="5"/>
        <v>0</v>
      </c>
      <c r="N90" s="5">
        <f t="shared" si="6"/>
        <v>0</v>
      </c>
      <c r="O90" s="5">
        <f t="shared" si="7"/>
        <v>0</v>
      </c>
      <c r="P90" s="5">
        <f t="shared" si="8"/>
        <v>0</v>
      </c>
      <c r="Q90" s="5">
        <f t="shared" si="9"/>
        <v>0</v>
      </c>
      <c r="R90" s="5">
        <f t="shared" si="10"/>
        <v>0</v>
      </c>
      <c r="S90" s="5">
        <f t="shared" si="11"/>
        <v>0</v>
      </c>
      <c r="T90" s="5">
        <f t="shared" si="12"/>
        <v>0</v>
      </c>
      <c r="U90" s="5">
        <f t="shared" si="13"/>
        <v>0</v>
      </c>
      <c r="V90" s="5">
        <f t="shared" ref="V90:V153" si="15">IF(E90="Catch Up XP",C90,0)</f>
        <v>0</v>
      </c>
    </row>
    <row r="91" spans="1:22" ht="13.5" customHeight="1" x14ac:dyDescent="0.25">
      <c r="A91" s="594"/>
      <c r="B91" s="377"/>
      <c r="C91" s="377"/>
      <c r="D91" s="443">
        <f t="shared" si="14"/>
        <v>100</v>
      </c>
      <c r="E91" s="580"/>
      <c r="F91" s="580"/>
      <c r="J91" s="26">
        <f t="shared" ref="J91:J154" si="16">IF(E91="Attributes",C91,0)</f>
        <v>0</v>
      </c>
      <c r="K91" s="5">
        <f t="shared" ref="K91:K154" si="17">IF(E91="Skills",C91,0)</f>
        <v>0</v>
      </c>
      <c r="L91" s="5">
        <f t="shared" ref="L91:L154" si="18">IF(E91="Specialization",C91,0)</f>
        <v>0</v>
      </c>
      <c r="M91" s="5">
        <f t="shared" ref="M91:M154" si="19">IF(E91="Blood Potency",C91,0)</f>
        <v>0</v>
      </c>
      <c r="N91" s="5">
        <f t="shared" ref="N91:N154" si="20">IF(E91="Merits",C91,0)</f>
        <v>0</v>
      </c>
      <c r="O91" s="5">
        <f t="shared" ref="O91:O154" si="21">IF(E91="Lost Merits",C91,0)</f>
        <v>0</v>
      </c>
      <c r="P91" s="5">
        <f t="shared" ref="P91:P154" si="22">IF(E91="Disciplines",C91,0)</f>
        <v>0</v>
      </c>
      <c r="Q91" s="5">
        <f t="shared" ref="Q91:Q154" si="23">IF(E91="Rituals",C91,0)</f>
        <v>0</v>
      </c>
      <c r="R91" s="5">
        <f t="shared" ref="R91:R154" si="24">IF(E91="Devotions",C91,0)</f>
        <v>0</v>
      </c>
      <c r="S91" s="5">
        <f t="shared" ref="S91:S154" si="25">IF(E91="Willpower",C91,0)</f>
        <v>0</v>
      </c>
      <c r="T91" s="5">
        <f t="shared" ref="T91:T154" si="26">IF(E91="Humanity",C91,0)</f>
        <v>0</v>
      </c>
      <c r="U91" s="5">
        <f t="shared" ref="U91:U154" si="27">IF(E91="Oaths",C91,0)</f>
        <v>0</v>
      </c>
      <c r="V91" s="5">
        <f t="shared" si="15"/>
        <v>0</v>
      </c>
    </row>
    <row r="92" spans="1:22" ht="13.5" customHeight="1" x14ac:dyDescent="0.25">
      <c r="A92" s="594"/>
      <c r="B92" s="377"/>
      <c r="C92" s="377"/>
      <c r="D92" s="443">
        <f t="shared" si="14"/>
        <v>100</v>
      </c>
      <c r="E92" s="580"/>
      <c r="F92" s="580"/>
      <c r="J92" s="26">
        <f t="shared" si="16"/>
        <v>0</v>
      </c>
      <c r="K92" s="5">
        <f t="shared" si="17"/>
        <v>0</v>
      </c>
      <c r="L92" s="5">
        <f t="shared" si="18"/>
        <v>0</v>
      </c>
      <c r="M92" s="5">
        <f t="shared" si="19"/>
        <v>0</v>
      </c>
      <c r="N92" s="5">
        <f t="shared" si="20"/>
        <v>0</v>
      </c>
      <c r="O92" s="5">
        <f t="shared" si="21"/>
        <v>0</v>
      </c>
      <c r="P92" s="5">
        <f t="shared" si="22"/>
        <v>0</v>
      </c>
      <c r="Q92" s="5">
        <f t="shared" si="23"/>
        <v>0</v>
      </c>
      <c r="R92" s="5">
        <f t="shared" si="24"/>
        <v>0</v>
      </c>
      <c r="S92" s="5">
        <f t="shared" si="25"/>
        <v>0</v>
      </c>
      <c r="T92" s="5">
        <f t="shared" si="26"/>
        <v>0</v>
      </c>
      <c r="U92" s="5">
        <f t="shared" si="27"/>
        <v>0</v>
      </c>
      <c r="V92" s="5">
        <f t="shared" si="15"/>
        <v>0</v>
      </c>
    </row>
    <row r="93" spans="1:22" ht="13.5" customHeight="1" x14ac:dyDescent="0.25">
      <c r="A93" s="594"/>
      <c r="B93" s="377"/>
      <c r="C93" s="377"/>
      <c r="D93" s="443">
        <f t="shared" si="14"/>
        <v>100</v>
      </c>
      <c r="E93" s="580"/>
      <c r="F93" s="580"/>
      <c r="J93" s="26">
        <f t="shared" si="16"/>
        <v>0</v>
      </c>
      <c r="K93" s="5">
        <f t="shared" si="17"/>
        <v>0</v>
      </c>
      <c r="L93" s="5">
        <f t="shared" si="18"/>
        <v>0</v>
      </c>
      <c r="M93" s="5">
        <f t="shared" si="19"/>
        <v>0</v>
      </c>
      <c r="N93" s="5">
        <f t="shared" si="20"/>
        <v>0</v>
      </c>
      <c r="O93" s="5">
        <f t="shared" si="21"/>
        <v>0</v>
      </c>
      <c r="P93" s="5">
        <f t="shared" si="22"/>
        <v>0</v>
      </c>
      <c r="Q93" s="5">
        <f t="shared" si="23"/>
        <v>0</v>
      </c>
      <c r="R93" s="5">
        <f t="shared" si="24"/>
        <v>0</v>
      </c>
      <c r="S93" s="5">
        <f t="shared" si="25"/>
        <v>0</v>
      </c>
      <c r="T93" s="5">
        <f t="shared" si="26"/>
        <v>0</v>
      </c>
      <c r="U93" s="5">
        <f t="shared" si="27"/>
        <v>0</v>
      </c>
      <c r="V93" s="5">
        <f t="shared" si="15"/>
        <v>0</v>
      </c>
    </row>
    <row r="94" spans="1:22" ht="13.5" customHeight="1" x14ac:dyDescent="0.25">
      <c r="A94" s="594"/>
      <c r="B94" s="377"/>
      <c r="C94" s="377"/>
      <c r="D94" s="443">
        <f t="shared" si="14"/>
        <v>100</v>
      </c>
      <c r="E94" s="580"/>
      <c r="F94" s="580"/>
      <c r="J94" s="26">
        <f t="shared" si="16"/>
        <v>0</v>
      </c>
      <c r="K94" s="5">
        <f t="shared" si="17"/>
        <v>0</v>
      </c>
      <c r="L94" s="5">
        <f t="shared" si="18"/>
        <v>0</v>
      </c>
      <c r="M94" s="5">
        <f t="shared" si="19"/>
        <v>0</v>
      </c>
      <c r="N94" s="5">
        <f t="shared" si="20"/>
        <v>0</v>
      </c>
      <c r="O94" s="5">
        <f t="shared" si="21"/>
        <v>0</v>
      </c>
      <c r="P94" s="5">
        <f t="shared" si="22"/>
        <v>0</v>
      </c>
      <c r="Q94" s="5">
        <f t="shared" si="23"/>
        <v>0</v>
      </c>
      <c r="R94" s="5">
        <f t="shared" si="24"/>
        <v>0</v>
      </c>
      <c r="S94" s="5">
        <f t="shared" si="25"/>
        <v>0</v>
      </c>
      <c r="T94" s="5">
        <f t="shared" si="26"/>
        <v>0</v>
      </c>
      <c r="U94" s="5">
        <f t="shared" si="27"/>
        <v>0</v>
      </c>
      <c r="V94" s="5">
        <f t="shared" si="15"/>
        <v>0</v>
      </c>
    </row>
    <row r="95" spans="1:22" ht="13.5" customHeight="1" x14ac:dyDescent="0.25">
      <c r="A95" s="594"/>
      <c r="B95" s="377"/>
      <c r="C95" s="377"/>
      <c r="D95" s="443">
        <f t="shared" si="14"/>
        <v>100</v>
      </c>
      <c r="E95" s="580"/>
      <c r="F95" s="580"/>
      <c r="J95" s="26">
        <f t="shared" si="16"/>
        <v>0</v>
      </c>
      <c r="K95" s="5">
        <f t="shared" si="17"/>
        <v>0</v>
      </c>
      <c r="L95" s="5">
        <f t="shared" si="18"/>
        <v>0</v>
      </c>
      <c r="M95" s="5">
        <f t="shared" si="19"/>
        <v>0</v>
      </c>
      <c r="N95" s="5">
        <f t="shared" si="20"/>
        <v>0</v>
      </c>
      <c r="O95" s="5">
        <f t="shared" si="21"/>
        <v>0</v>
      </c>
      <c r="P95" s="5">
        <f t="shared" si="22"/>
        <v>0</v>
      </c>
      <c r="Q95" s="5">
        <f t="shared" si="23"/>
        <v>0</v>
      </c>
      <c r="R95" s="5">
        <f t="shared" si="24"/>
        <v>0</v>
      </c>
      <c r="S95" s="5">
        <f t="shared" si="25"/>
        <v>0</v>
      </c>
      <c r="T95" s="5">
        <f t="shared" si="26"/>
        <v>0</v>
      </c>
      <c r="U95" s="5">
        <f t="shared" si="27"/>
        <v>0</v>
      </c>
      <c r="V95" s="5">
        <f t="shared" si="15"/>
        <v>0</v>
      </c>
    </row>
    <row r="96" spans="1:22" ht="13.5" customHeight="1" x14ac:dyDescent="0.25">
      <c r="A96" s="594"/>
      <c r="B96" s="377"/>
      <c r="C96" s="377"/>
      <c r="D96" s="443">
        <f t="shared" si="14"/>
        <v>100</v>
      </c>
      <c r="E96" s="580"/>
      <c r="F96" s="580"/>
      <c r="J96" s="26">
        <f t="shared" si="16"/>
        <v>0</v>
      </c>
      <c r="K96" s="5">
        <f t="shared" si="17"/>
        <v>0</v>
      </c>
      <c r="L96" s="5">
        <f t="shared" si="18"/>
        <v>0</v>
      </c>
      <c r="M96" s="5">
        <f t="shared" si="19"/>
        <v>0</v>
      </c>
      <c r="N96" s="5">
        <f t="shared" si="20"/>
        <v>0</v>
      </c>
      <c r="O96" s="5">
        <f t="shared" si="21"/>
        <v>0</v>
      </c>
      <c r="P96" s="5">
        <f t="shared" si="22"/>
        <v>0</v>
      </c>
      <c r="Q96" s="5">
        <f t="shared" si="23"/>
        <v>0</v>
      </c>
      <c r="R96" s="5">
        <f t="shared" si="24"/>
        <v>0</v>
      </c>
      <c r="S96" s="5">
        <f t="shared" si="25"/>
        <v>0</v>
      </c>
      <c r="T96" s="5">
        <f t="shared" si="26"/>
        <v>0</v>
      </c>
      <c r="U96" s="5">
        <f t="shared" si="27"/>
        <v>0</v>
      </c>
      <c r="V96" s="5">
        <f t="shared" si="15"/>
        <v>0</v>
      </c>
    </row>
    <row r="97" spans="1:22" ht="13.5" customHeight="1" x14ac:dyDescent="0.25">
      <c r="A97" s="594"/>
      <c r="B97" s="377"/>
      <c r="C97" s="377"/>
      <c r="D97" s="443">
        <f t="shared" si="14"/>
        <v>100</v>
      </c>
      <c r="E97" s="580"/>
      <c r="F97" s="580"/>
      <c r="J97" s="26">
        <f t="shared" si="16"/>
        <v>0</v>
      </c>
      <c r="K97" s="5">
        <f t="shared" si="17"/>
        <v>0</v>
      </c>
      <c r="L97" s="5">
        <f t="shared" si="18"/>
        <v>0</v>
      </c>
      <c r="M97" s="5">
        <f t="shared" si="19"/>
        <v>0</v>
      </c>
      <c r="N97" s="5">
        <f t="shared" si="20"/>
        <v>0</v>
      </c>
      <c r="O97" s="5">
        <f t="shared" si="21"/>
        <v>0</v>
      </c>
      <c r="P97" s="5">
        <f t="shared" si="22"/>
        <v>0</v>
      </c>
      <c r="Q97" s="5">
        <f t="shared" si="23"/>
        <v>0</v>
      </c>
      <c r="R97" s="5">
        <f t="shared" si="24"/>
        <v>0</v>
      </c>
      <c r="S97" s="5">
        <f t="shared" si="25"/>
        <v>0</v>
      </c>
      <c r="T97" s="5">
        <f t="shared" si="26"/>
        <v>0</v>
      </c>
      <c r="U97" s="5">
        <f t="shared" si="27"/>
        <v>0</v>
      </c>
      <c r="V97" s="5">
        <f t="shared" si="15"/>
        <v>0</v>
      </c>
    </row>
    <row r="98" spans="1:22" ht="13.5" customHeight="1" x14ac:dyDescent="0.25">
      <c r="A98" s="594"/>
      <c r="B98" s="377"/>
      <c r="C98" s="377"/>
      <c r="D98" s="443">
        <f t="shared" si="14"/>
        <v>100</v>
      </c>
      <c r="E98" s="580"/>
      <c r="F98" s="580"/>
      <c r="J98" s="26">
        <f t="shared" si="16"/>
        <v>0</v>
      </c>
      <c r="K98" s="5">
        <f t="shared" si="17"/>
        <v>0</v>
      </c>
      <c r="L98" s="5">
        <f t="shared" si="18"/>
        <v>0</v>
      </c>
      <c r="M98" s="5">
        <f t="shared" si="19"/>
        <v>0</v>
      </c>
      <c r="N98" s="5">
        <f t="shared" si="20"/>
        <v>0</v>
      </c>
      <c r="O98" s="5">
        <f t="shared" si="21"/>
        <v>0</v>
      </c>
      <c r="P98" s="5">
        <f t="shared" si="22"/>
        <v>0</v>
      </c>
      <c r="Q98" s="5">
        <f t="shared" si="23"/>
        <v>0</v>
      </c>
      <c r="R98" s="5">
        <f t="shared" si="24"/>
        <v>0</v>
      </c>
      <c r="S98" s="5">
        <f t="shared" si="25"/>
        <v>0</v>
      </c>
      <c r="T98" s="5">
        <f t="shared" si="26"/>
        <v>0</v>
      </c>
      <c r="U98" s="5">
        <f t="shared" si="27"/>
        <v>0</v>
      </c>
      <c r="V98" s="5">
        <f t="shared" si="15"/>
        <v>0</v>
      </c>
    </row>
    <row r="99" spans="1:22" ht="13.5" customHeight="1" x14ac:dyDescent="0.25">
      <c r="A99" s="594"/>
      <c r="B99" s="377"/>
      <c r="C99" s="377"/>
      <c r="D99" s="443">
        <f t="shared" si="14"/>
        <v>100</v>
      </c>
      <c r="E99" s="580"/>
      <c r="F99" s="580"/>
      <c r="J99" s="26">
        <f t="shared" si="16"/>
        <v>0</v>
      </c>
      <c r="K99" s="5">
        <f t="shared" si="17"/>
        <v>0</v>
      </c>
      <c r="L99" s="5">
        <f t="shared" si="18"/>
        <v>0</v>
      </c>
      <c r="M99" s="5">
        <f t="shared" si="19"/>
        <v>0</v>
      </c>
      <c r="N99" s="5">
        <f t="shared" si="20"/>
        <v>0</v>
      </c>
      <c r="O99" s="5">
        <f t="shared" si="21"/>
        <v>0</v>
      </c>
      <c r="P99" s="5">
        <f t="shared" si="22"/>
        <v>0</v>
      </c>
      <c r="Q99" s="5">
        <f t="shared" si="23"/>
        <v>0</v>
      </c>
      <c r="R99" s="5">
        <f t="shared" si="24"/>
        <v>0</v>
      </c>
      <c r="S99" s="5">
        <f t="shared" si="25"/>
        <v>0</v>
      </c>
      <c r="T99" s="5">
        <f t="shared" si="26"/>
        <v>0</v>
      </c>
      <c r="U99" s="5">
        <f t="shared" si="27"/>
        <v>0</v>
      </c>
      <c r="V99" s="5">
        <f t="shared" si="15"/>
        <v>0</v>
      </c>
    </row>
    <row r="100" spans="1:22" ht="13.5" customHeight="1" x14ac:dyDescent="0.25">
      <c r="A100" s="594"/>
      <c r="B100" s="377"/>
      <c r="C100" s="377"/>
      <c r="D100" s="443">
        <f t="shared" si="14"/>
        <v>100</v>
      </c>
      <c r="E100" s="580"/>
      <c r="F100" s="580"/>
      <c r="J100" s="26">
        <f t="shared" si="16"/>
        <v>0</v>
      </c>
      <c r="K100" s="5">
        <f t="shared" si="17"/>
        <v>0</v>
      </c>
      <c r="L100" s="5">
        <f t="shared" si="18"/>
        <v>0</v>
      </c>
      <c r="M100" s="5">
        <f t="shared" si="19"/>
        <v>0</v>
      </c>
      <c r="N100" s="5">
        <f t="shared" si="20"/>
        <v>0</v>
      </c>
      <c r="O100" s="5">
        <f t="shared" si="21"/>
        <v>0</v>
      </c>
      <c r="P100" s="5">
        <f t="shared" si="22"/>
        <v>0</v>
      </c>
      <c r="Q100" s="5">
        <f t="shared" si="23"/>
        <v>0</v>
      </c>
      <c r="R100" s="5">
        <f t="shared" si="24"/>
        <v>0</v>
      </c>
      <c r="S100" s="5">
        <f t="shared" si="25"/>
        <v>0</v>
      </c>
      <c r="T100" s="5">
        <f t="shared" si="26"/>
        <v>0</v>
      </c>
      <c r="U100" s="5">
        <f t="shared" si="27"/>
        <v>0</v>
      </c>
      <c r="V100" s="5">
        <f t="shared" si="15"/>
        <v>0</v>
      </c>
    </row>
    <row r="101" spans="1:22" ht="13.5" customHeight="1" x14ac:dyDescent="0.25">
      <c r="A101" s="594"/>
      <c r="B101" s="377"/>
      <c r="C101" s="377"/>
      <c r="D101" s="443">
        <f t="shared" si="14"/>
        <v>100</v>
      </c>
      <c r="E101" s="580"/>
      <c r="F101" s="580"/>
      <c r="J101" s="26">
        <f t="shared" si="16"/>
        <v>0</v>
      </c>
      <c r="K101" s="5">
        <f t="shared" si="17"/>
        <v>0</v>
      </c>
      <c r="L101" s="5">
        <f t="shared" si="18"/>
        <v>0</v>
      </c>
      <c r="M101" s="5">
        <f t="shared" si="19"/>
        <v>0</v>
      </c>
      <c r="N101" s="5">
        <f t="shared" si="20"/>
        <v>0</v>
      </c>
      <c r="O101" s="5">
        <f t="shared" si="21"/>
        <v>0</v>
      </c>
      <c r="P101" s="5">
        <f t="shared" si="22"/>
        <v>0</v>
      </c>
      <c r="Q101" s="5">
        <f t="shared" si="23"/>
        <v>0</v>
      </c>
      <c r="R101" s="5">
        <f t="shared" si="24"/>
        <v>0</v>
      </c>
      <c r="S101" s="5">
        <f t="shared" si="25"/>
        <v>0</v>
      </c>
      <c r="T101" s="5">
        <f t="shared" si="26"/>
        <v>0</v>
      </c>
      <c r="U101" s="5">
        <f t="shared" si="27"/>
        <v>0</v>
      </c>
      <c r="V101" s="5">
        <f t="shared" si="15"/>
        <v>0</v>
      </c>
    </row>
    <row r="102" spans="1:22" ht="13.5" customHeight="1" x14ac:dyDescent="0.25">
      <c r="A102" s="594"/>
      <c r="B102" s="377"/>
      <c r="C102" s="377"/>
      <c r="D102" s="443">
        <f t="shared" si="14"/>
        <v>100</v>
      </c>
      <c r="E102" s="580"/>
      <c r="F102" s="580"/>
      <c r="J102" s="26">
        <f t="shared" si="16"/>
        <v>0</v>
      </c>
      <c r="K102" s="5">
        <f t="shared" si="17"/>
        <v>0</v>
      </c>
      <c r="L102" s="5">
        <f t="shared" si="18"/>
        <v>0</v>
      </c>
      <c r="M102" s="5">
        <f t="shared" si="19"/>
        <v>0</v>
      </c>
      <c r="N102" s="5">
        <f t="shared" si="20"/>
        <v>0</v>
      </c>
      <c r="O102" s="5">
        <f t="shared" si="21"/>
        <v>0</v>
      </c>
      <c r="P102" s="5">
        <f t="shared" si="22"/>
        <v>0</v>
      </c>
      <c r="Q102" s="5">
        <f t="shared" si="23"/>
        <v>0</v>
      </c>
      <c r="R102" s="5">
        <f t="shared" si="24"/>
        <v>0</v>
      </c>
      <c r="S102" s="5">
        <f t="shared" si="25"/>
        <v>0</v>
      </c>
      <c r="T102" s="5">
        <f t="shared" si="26"/>
        <v>0</v>
      </c>
      <c r="U102" s="5">
        <f t="shared" si="27"/>
        <v>0</v>
      </c>
      <c r="V102" s="5">
        <f t="shared" si="15"/>
        <v>0</v>
      </c>
    </row>
    <row r="103" spans="1:22" ht="13.5" customHeight="1" x14ac:dyDescent="0.25">
      <c r="A103" s="594"/>
      <c r="B103" s="377"/>
      <c r="C103" s="377"/>
      <c r="D103" s="443">
        <f t="shared" si="14"/>
        <v>100</v>
      </c>
      <c r="E103" s="580"/>
      <c r="F103" s="580"/>
      <c r="J103" s="26">
        <f t="shared" si="16"/>
        <v>0</v>
      </c>
      <c r="K103" s="5">
        <f t="shared" si="17"/>
        <v>0</v>
      </c>
      <c r="L103" s="5">
        <f t="shared" si="18"/>
        <v>0</v>
      </c>
      <c r="M103" s="5">
        <f t="shared" si="19"/>
        <v>0</v>
      </c>
      <c r="N103" s="5">
        <f t="shared" si="20"/>
        <v>0</v>
      </c>
      <c r="O103" s="5">
        <f t="shared" si="21"/>
        <v>0</v>
      </c>
      <c r="P103" s="5">
        <f t="shared" si="22"/>
        <v>0</v>
      </c>
      <c r="Q103" s="5">
        <f t="shared" si="23"/>
        <v>0</v>
      </c>
      <c r="R103" s="5">
        <f t="shared" si="24"/>
        <v>0</v>
      </c>
      <c r="S103" s="5">
        <f t="shared" si="25"/>
        <v>0</v>
      </c>
      <c r="T103" s="5">
        <f t="shared" si="26"/>
        <v>0</v>
      </c>
      <c r="U103" s="5">
        <f t="shared" si="27"/>
        <v>0</v>
      </c>
      <c r="V103" s="5">
        <f t="shared" si="15"/>
        <v>0</v>
      </c>
    </row>
    <row r="104" spans="1:22" ht="13.5" customHeight="1" x14ac:dyDescent="0.25">
      <c r="A104" s="594"/>
      <c r="B104" s="377"/>
      <c r="C104" s="377"/>
      <c r="D104" s="443">
        <f t="shared" si="14"/>
        <v>100</v>
      </c>
      <c r="E104" s="580"/>
      <c r="F104" s="580"/>
      <c r="J104" s="26">
        <f t="shared" si="16"/>
        <v>0</v>
      </c>
      <c r="K104" s="5">
        <f t="shared" si="17"/>
        <v>0</v>
      </c>
      <c r="L104" s="5">
        <f t="shared" si="18"/>
        <v>0</v>
      </c>
      <c r="M104" s="5">
        <f t="shared" si="19"/>
        <v>0</v>
      </c>
      <c r="N104" s="5">
        <f t="shared" si="20"/>
        <v>0</v>
      </c>
      <c r="O104" s="5">
        <f t="shared" si="21"/>
        <v>0</v>
      </c>
      <c r="P104" s="5">
        <f t="shared" si="22"/>
        <v>0</v>
      </c>
      <c r="Q104" s="5">
        <f t="shared" si="23"/>
        <v>0</v>
      </c>
      <c r="R104" s="5">
        <f t="shared" si="24"/>
        <v>0</v>
      </c>
      <c r="S104" s="5">
        <f t="shared" si="25"/>
        <v>0</v>
      </c>
      <c r="T104" s="5">
        <f t="shared" si="26"/>
        <v>0</v>
      </c>
      <c r="U104" s="5">
        <f t="shared" si="27"/>
        <v>0</v>
      </c>
      <c r="V104" s="5">
        <f t="shared" si="15"/>
        <v>0</v>
      </c>
    </row>
    <row r="105" spans="1:22" ht="13.5" customHeight="1" x14ac:dyDescent="0.25">
      <c r="A105" s="594"/>
      <c r="B105" s="377"/>
      <c r="C105" s="377"/>
      <c r="D105" s="443">
        <f t="shared" si="14"/>
        <v>100</v>
      </c>
      <c r="E105" s="580"/>
      <c r="F105" s="580"/>
      <c r="J105" s="26">
        <f t="shared" si="16"/>
        <v>0</v>
      </c>
      <c r="K105" s="5">
        <f t="shared" si="17"/>
        <v>0</v>
      </c>
      <c r="L105" s="5">
        <f t="shared" si="18"/>
        <v>0</v>
      </c>
      <c r="M105" s="5">
        <f t="shared" si="19"/>
        <v>0</v>
      </c>
      <c r="N105" s="5">
        <f t="shared" si="20"/>
        <v>0</v>
      </c>
      <c r="O105" s="5">
        <f t="shared" si="21"/>
        <v>0</v>
      </c>
      <c r="P105" s="5">
        <f t="shared" si="22"/>
        <v>0</v>
      </c>
      <c r="Q105" s="5">
        <f t="shared" si="23"/>
        <v>0</v>
      </c>
      <c r="R105" s="5">
        <f t="shared" si="24"/>
        <v>0</v>
      </c>
      <c r="S105" s="5">
        <f t="shared" si="25"/>
        <v>0</v>
      </c>
      <c r="T105" s="5">
        <f t="shared" si="26"/>
        <v>0</v>
      </c>
      <c r="U105" s="5">
        <f t="shared" si="27"/>
        <v>0</v>
      </c>
      <c r="V105" s="5">
        <f t="shared" si="15"/>
        <v>0</v>
      </c>
    </row>
    <row r="106" spans="1:22" ht="13.5" customHeight="1" x14ac:dyDescent="0.25">
      <c r="A106" s="594"/>
      <c r="B106" s="377"/>
      <c r="C106" s="377"/>
      <c r="D106" s="443">
        <f t="shared" si="14"/>
        <v>100</v>
      </c>
      <c r="E106" s="580"/>
      <c r="F106" s="580"/>
      <c r="J106" s="26">
        <f t="shared" si="16"/>
        <v>0</v>
      </c>
      <c r="K106" s="5">
        <f t="shared" si="17"/>
        <v>0</v>
      </c>
      <c r="L106" s="5">
        <f t="shared" si="18"/>
        <v>0</v>
      </c>
      <c r="M106" s="5">
        <f t="shared" si="19"/>
        <v>0</v>
      </c>
      <c r="N106" s="5">
        <f t="shared" si="20"/>
        <v>0</v>
      </c>
      <c r="O106" s="5">
        <f t="shared" si="21"/>
        <v>0</v>
      </c>
      <c r="P106" s="5">
        <f t="shared" si="22"/>
        <v>0</v>
      </c>
      <c r="Q106" s="5">
        <f t="shared" si="23"/>
        <v>0</v>
      </c>
      <c r="R106" s="5">
        <f t="shared" si="24"/>
        <v>0</v>
      </c>
      <c r="S106" s="5">
        <f t="shared" si="25"/>
        <v>0</v>
      </c>
      <c r="T106" s="5">
        <f t="shared" si="26"/>
        <v>0</v>
      </c>
      <c r="U106" s="5">
        <f t="shared" si="27"/>
        <v>0</v>
      </c>
      <c r="V106" s="5">
        <f t="shared" si="15"/>
        <v>0</v>
      </c>
    </row>
    <row r="107" spans="1:22" ht="13.5" customHeight="1" x14ac:dyDescent="0.25">
      <c r="A107" s="594"/>
      <c r="B107" s="377"/>
      <c r="C107" s="377"/>
      <c r="D107" s="443">
        <f t="shared" si="14"/>
        <v>100</v>
      </c>
      <c r="E107" s="580"/>
      <c r="F107" s="580"/>
      <c r="J107" s="26">
        <f t="shared" si="16"/>
        <v>0</v>
      </c>
      <c r="K107" s="5">
        <f t="shared" si="17"/>
        <v>0</v>
      </c>
      <c r="L107" s="5">
        <f t="shared" si="18"/>
        <v>0</v>
      </c>
      <c r="M107" s="5">
        <f t="shared" si="19"/>
        <v>0</v>
      </c>
      <c r="N107" s="5">
        <f t="shared" si="20"/>
        <v>0</v>
      </c>
      <c r="O107" s="5">
        <f t="shared" si="21"/>
        <v>0</v>
      </c>
      <c r="P107" s="5">
        <f t="shared" si="22"/>
        <v>0</v>
      </c>
      <c r="Q107" s="5">
        <f t="shared" si="23"/>
        <v>0</v>
      </c>
      <c r="R107" s="5">
        <f t="shared" si="24"/>
        <v>0</v>
      </c>
      <c r="S107" s="5">
        <f t="shared" si="25"/>
        <v>0</v>
      </c>
      <c r="T107" s="5">
        <f t="shared" si="26"/>
        <v>0</v>
      </c>
      <c r="U107" s="5">
        <f t="shared" si="27"/>
        <v>0</v>
      </c>
      <c r="V107" s="5">
        <f t="shared" si="15"/>
        <v>0</v>
      </c>
    </row>
    <row r="108" spans="1:22" ht="13.5" customHeight="1" x14ac:dyDescent="0.25">
      <c r="A108" s="594"/>
      <c r="B108" s="377"/>
      <c r="C108" s="377"/>
      <c r="D108" s="443">
        <f t="shared" si="14"/>
        <v>100</v>
      </c>
      <c r="E108" s="580"/>
      <c r="F108" s="580"/>
      <c r="J108" s="26">
        <f t="shared" si="16"/>
        <v>0</v>
      </c>
      <c r="K108" s="5">
        <f t="shared" si="17"/>
        <v>0</v>
      </c>
      <c r="L108" s="5">
        <f t="shared" si="18"/>
        <v>0</v>
      </c>
      <c r="M108" s="5">
        <f t="shared" si="19"/>
        <v>0</v>
      </c>
      <c r="N108" s="5">
        <f t="shared" si="20"/>
        <v>0</v>
      </c>
      <c r="O108" s="5">
        <f t="shared" si="21"/>
        <v>0</v>
      </c>
      <c r="P108" s="5">
        <f t="shared" si="22"/>
        <v>0</v>
      </c>
      <c r="Q108" s="5">
        <f t="shared" si="23"/>
        <v>0</v>
      </c>
      <c r="R108" s="5">
        <f t="shared" si="24"/>
        <v>0</v>
      </c>
      <c r="S108" s="5">
        <f t="shared" si="25"/>
        <v>0</v>
      </c>
      <c r="T108" s="5">
        <f t="shared" si="26"/>
        <v>0</v>
      </c>
      <c r="U108" s="5">
        <f t="shared" si="27"/>
        <v>0</v>
      </c>
      <c r="V108" s="5">
        <f t="shared" si="15"/>
        <v>0</v>
      </c>
    </row>
    <row r="109" spans="1:22" ht="13.5" customHeight="1" x14ac:dyDescent="0.25">
      <c r="A109" s="594"/>
      <c r="B109" s="377"/>
      <c r="C109" s="377"/>
      <c r="D109" s="443">
        <f t="shared" si="14"/>
        <v>100</v>
      </c>
      <c r="E109" s="580"/>
      <c r="F109" s="580"/>
      <c r="J109" s="26">
        <f t="shared" si="16"/>
        <v>0</v>
      </c>
      <c r="K109" s="5">
        <f t="shared" si="17"/>
        <v>0</v>
      </c>
      <c r="L109" s="5">
        <f t="shared" si="18"/>
        <v>0</v>
      </c>
      <c r="M109" s="5">
        <f t="shared" si="19"/>
        <v>0</v>
      </c>
      <c r="N109" s="5">
        <f t="shared" si="20"/>
        <v>0</v>
      </c>
      <c r="O109" s="5">
        <f t="shared" si="21"/>
        <v>0</v>
      </c>
      <c r="P109" s="5">
        <f t="shared" si="22"/>
        <v>0</v>
      </c>
      <c r="Q109" s="5">
        <f t="shared" si="23"/>
        <v>0</v>
      </c>
      <c r="R109" s="5">
        <f t="shared" si="24"/>
        <v>0</v>
      </c>
      <c r="S109" s="5">
        <f t="shared" si="25"/>
        <v>0</v>
      </c>
      <c r="T109" s="5">
        <f t="shared" si="26"/>
        <v>0</v>
      </c>
      <c r="U109" s="5">
        <f t="shared" si="27"/>
        <v>0</v>
      </c>
      <c r="V109" s="5">
        <f t="shared" si="15"/>
        <v>0</v>
      </c>
    </row>
    <row r="110" spans="1:22" ht="13.5" customHeight="1" x14ac:dyDescent="0.25">
      <c r="A110" s="594"/>
      <c r="B110" s="377"/>
      <c r="C110" s="377"/>
      <c r="D110" s="443">
        <f t="shared" si="14"/>
        <v>100</v>
      </c>
      <c r="E110" s="580"/>
      <c r="F110" s="580"/>
      <c r="J110" s="26">
        <f t="shared" si="16"/>
        <v>0</v>
      </c>
      <c r="K110" s="5">
        <f t="shared" si="17"/>
        <v>0</v>
      </c>
      <c r="L110" s="5">
        <f t="shared" si="18"/>
        <v>0</v>
      </c>
      <c r="M110" s="5">
        <f t="shared" si="19"/>
        <v>0</v>
      </c>
      <c r="N110" s="5">
        <f t="shared" si="20"/>
        <v>0</v>
      </c>
      <c r="O110" s="5">
        <f t="shared" si="21"/>
        <v>0</v>
      </c>
      <c r="P110" s="5">
        <f t="shared" si="22"/>
        <v>0</v>
      </c>
      <c r="Q110" s="5">
        <f t="shared" si="23"/>
        <v>0</v>
      </c>
      <c r="R110" s="5">
        <f t="shared" si="24"/>
        <v>0</v>
      </c>
      <c r="S110" s="5">
        <f t="shared" si="25"/>
        <v>0</v>
      </c>
      <c r="T110" s="5">
        <f t="shared" si="26"/>
        <v>0</v>
      </c>
      <c r="U110" s="5">
        <f t="shared" si="27"/>
        <v>0</v>
      </c>
      <c r="V110" s="5">
        <f t="shared" si="15"/>
        <v>0</v>
      </c>
    </row>
    <row r="111" spans="1:22" ht="13.5" customHeight="1" x14ac:dyDescent="0.25">
      <c r="A111" s="594"/>
      <c r="B111" s="377"/>
      <c r="C111" s="377"/>
      <c r="D111" s="443">
        <f t="shared" si="14"/>
        <v>100</v>
      </c>
      <c r="E111" s="580"/>
      <c r="F111" s="580"/>
      <c r="J111" s="26">
        <f t="shared" si="16"/>
        <v>0</v>
      </c>
      <c r="K111" s="5">
        <f t="shared" si="17"/>
        <v>0</v>
      </c>
      <c r="L111" s="5">
        <f t="shared" si="18"/>
        <v>0</v>
      </c>
      <c r="M111" s="5">
        <f t="shared" si="19"/>
        <v>0</v>
      </c>
      <c r="N111" s="5">
        <f t="shared" si="20"/>
        <v>0</v>
      </c>
      <c r="O111" s="5">
        <f t="shared" si="21"/>
        <v>0</v>
      </c>
      <c r="P111" s="5">
        <f t="shared" si="22"/>
        <v>0</v>
      </c>
      <c r="Q111" s="5">
        <f t="shared" si="23"/>
        <v>0</v>
      </c>
      <c r="R111" s="5">
        <f t="shared" si="24"/>
        <v>0</v>
      </c>
      <c r="S111" s="5">
        <f t="shared" si="25"/>
        <v>0</v>
      </c>
      <c r="T111" s="5">
        <f t="shared" si="26"/>
        <v>0</v>
      </c>
      <c r="U111" s="5">
        <f t="shared" si="27"/>
        <v>0</v>
      </c>
      <c r="V111" s="5">
        <f t="shared" si="15"/>
        <v>0</v>
      </c>
    </row>
    <row r="112" spans="1:22" ht="13.5" customHeight="1" x14ac:dyDescent="0.25">
      <c r="A112" s="594"/>
      <c r="B112" s="377"/>
      <c r="C112" s="377"/>
      <c r="D112" s="443">
        <f t="shared" si="14"/>
        <v>100</v>
      </c>
      <c r="E112" s="580"/>
      <c r="F112" s="580"/>
      <c r="J112" s="26">
        <f t="shared" si="16"/>
        <v>0</v>
      </c>
      <c r="K112" s="5">
        <f t="shared" si="17"/>
        <v>0</v>
      </c>
      <c r="L112" s="5">
        <f t="shared" si="18"/>
        <v>0</v>
      </c>
      <c r="M112" s="5">
        <f t="shared" si="19"/>
        <v>0</v>
      </c>
      <c r="N112" s="5">
        <f t="shared" si="20"/>
        <v>0</v>
      </c>
      <c r="O112" s="5">
        <f t="shared" si="21"/>
        <v>0</v>
      </c>
      <c r="P112" s="5">
        <f t="shared" si="22"/>
        <v>0</v>
      </c>
      <c r="Q112" s="5">
        <f t="shared" si="23"/>
        <v>0</v>
      </c>
      <c r="R112" s="5">
        <f t="shared" si="24"/>
        <v>0</v>
      </c>
      <c r="S112" s="5">
        <f t="shared" si="25"/>
        <v>0</v>
      </c>
      <c r="T112" s="5">
        <f t="shared" si="26"/>
        <v>0</v>
      </c>
      <c r="U112" s="5">
        <f t="shared" si="27"/>
        <v>0</v>
      </c>
      <c r="V112" s="5">
        <f t="shared" si="15"/>
        <v>0</v>
      </c>
    </row>
    <row r="113" spans="1:22" ht="13.5" customHeight="1" x14ac:dyDescent="0.25">
      <c r="A113" s="594"/>
      <c r="B113" s="377"/>
      <c r="C113" s="377"/>
      <c r="D113" s="443">
        <f t="shared" si="14"/>
        <v>100</v>
      </c>
      <c r="E113" s="580"/>
      <c r="F113" s="580"/>
      <c r="J113" s="26">
        <f t="shared" si="16"/>
        <v>0</v>
      </c>
      <c r="K113" s="5">
        <f t="shared" si="17"/>
        <v>0</v>
      </c>
      <c r="L113" s="5">
        <f t="shared" si="18"/>
        <v>0</v>
      </c>
      <c r="M113" s="5">
        <f t="shared" si="19"/>
        <v>0</v>
      </c>
      <c r="N113" s="5">
        <f t="shared" si="20"/>
        <v>0</v>
      </c>
      <c r="O113" s="5">
        <f t="shared" si="21"/>
        <v>0</v>
      </c>
      <c r="P113" s="5">
        <f t="shared" si="22"/>
        <v>0</v>
      </c>
      <c r="Q113" s="5">
        <f t="shared" si="23"/>
        <v>0</v>
      </c>
      <c r="R113" s="5">
        <f t="shared" si="24"/>
        <v>0</v>
      </c>
      <c r="S113" s="5">
        <f t="shared" si="25"/>
        <v>0</v>
      </c>
      <c r="T113" s="5">
        <f t="shared" si="26"/>
        <v>0</v>
      </c>
      <c r="U113" s="5">
        <f t="shared" si="27"/>
        <v>0</v>
      </c>
      <c r="V113" s="5">
        <f t="shared" si="15"/>
        <v>0</v>
      </c>
    </row>
    <row r="114" spans="1:22" ht="13.5" customHeight="1" x14ac:dyDescent="0.25">
      <c r="A114" s="594"/>
      <c r="B114" s="377"/>
      <c r="C114" s="377"/>
      <c r="D114" s="443">
        <f t="shared" si="14"/>
        <v>100</v>
      </c>
      <c r="E114" s="580"/>
      <c r="F114" s="580"/>
      <c r="J114" s="26">
        <f t="shared" si="16"/>
        <v>0</v>
      </c>
      <c r="K114" s="5">
        <f t="shared" si="17"/>
        <v>0</v>
      </c>
      <c r="L114" s="5">
        <f t="shared" si="18"/>
        <v>0</v>
      </c>
      <c r="M114" s="5">
        <f t="shared" si="19"/>
        <v>0</v>
      </c>
      <c r="N114" s="5">
        <f t="shared" si="20"/>
        <v>0</v>
      </c>
      <c r="O114" s="5">
        <f t="shared" si="21"/>
        <v>0</v>
      </c>
      <c r="P114" s="5">
        <f t="shared" si="22"/>
        <v>0</v>
      </c>
      <c r="Q114" s="5">
        <f t="shared" si="23"/>
        <v>0</v>
      </c>
      <c r="R114" s="5">
        <f t="shared" si="24"/>
        <v>0</v>
      </c>
      <c r="S114" s="5">
        <f t="shared" si="25"/>
        <v>0</v>
      </c>
      <c r="T114" s="5">
        <f t="shared" si="26"/>
        <v>0</v>
      </c>
      <c r="U114" s="5">
        <f t="shared" si="27"/>
        <v>0</v>
      </c>
      <c r="V114" s="5">
        <f t="shared" si="15"/>
        <v>0</v>
      </c>
    </row>
    <row r="115" spans="1:22" ht="13.5" customHeight="1" x14ac:dyDescent="0.25">
      <c r="A115" s="594"/>
      <c r="B115" s="377"/>
      <c r="C115" s="377"/>
      <c r="D115" s="443">
        <f t="shared" si="14"/>
        <v>100</v>
      </c>
      <c r="E115" s="580"/>
      <c r="F115" s="580"/>
      <c r="J115" s="26">
        <f t="shared" si="16"/>
        <v>0</v>
      </c>
      <c r="K115" s="5">
        <f t="shared" si="17"/>
        <v>0</v>
      </c>
      <c r="L115" s="5">
        <f t="shared" si="18"/>
        <v>0</v>
      </c>
      <c r="M115" s="5">
        <f t="shared" si="19"/>
        <v>0</v>
      </c>
      <c r="N115" s="5">
        <f t="shared" si="20"/>
        <v>0</v>
      </c>
      <c r="O115" s="5">
        <f t="shared" si="21"/>
        <v>0</v>
      </c>
      <c r="P115" s="5">
        <f t="shared" si="22"/>
        <v>0</v>
      </c>
      <c r="Q115" s="5">
        <f t="shared" si="23"/>
        <v>0</v>
      </c>
      <c r="R115" s="5">
        <f t="shared" si="24"/>
        <v>0</v>
      </c>
      <c r="S115" s="5">
        <f t="shared" si="25"/>
        <v>0</v>
      </c>
      <c r="T115" s="5">
        <f t="shared" si="26"/>
        <v>0</v>
      </c>
      <c r="U115" s="5">
        <f t="shared" si="27"/>
        <v>0</v>
      </c>
      <c r="V115" s="5">
        <f t="shared" si="15"/>
        <v>0</v>
      </c>
    </row>
    <row r="116" spans="1:22" ht="13.5" customHeight="1" x14ac:dyDescent="0.25">
      <c r="A116" s="594"/>
      <c r="B116" s="377"/>
      <c r="C116" s="377"/>
      <c r="D116" s="443">
        <f t="shared" si="14"/>
        <v>100</v>
      </c>
      <c r="E116" s="580"/>
      <c r="F116" s="580"/>
      <c r="J116" s="26">
        <f t="shared" si="16"/>
        <v>0</v>
      </c>
      <c r="K116" s="5">
        <f t="shared" si="17"/>
        <v>0</v>
      </c>
      <c r="L116" s="5">
        <f t="shared" si="18"/>
        <v>0</v>
      </c>
      <c r="M116" s="5">
        <f t="shared" si="19"/>
        <v>0</v>
      </c>
      <c r="N116" s="5">
        <f t="shared" si="20"/>
        <v>0</v>
      </c>
      <c r="O116" s="5">
        <f t="shared" si="21"/>
        <v>0</v>
      </c>
      <c r="P116" s="5">
        <f t="shared" si="22"/>
        <v>0</v>
      </c>
      <c r="Q116" s="5">
        <f t="shared" si="23"/>
        <v>0</v>
      </c>
      <c r="R116" s="5">
        <f t="shared" si="24"/>
        <v>0</v>
      </c>
      <c r="S116" s="5">
        <f t="shared" si="25"/>
        <v>0</v>
      </c>
      <c r="T116" s="5">
        <f t="shared" si="26"/>
        <v>0</v>
      </c>
      <c r="U116" s="5">
        <f t="shared" si="27"/>
        <v>0</v>
      </c>
      <c r="V116" s="5">
        <f t="shared" si="15"/>
        <v>0</v>
      </c>
    </row>
    <row r="117" spans="1:22" ht="13.5" customHeight="1" x14ac:dyDescent="0.25">
      <c r="A117" s="594"/>
      <c r="B117" s="377"/>
      <c r="C117" s="377"/>
      <c r="D117" s="443">
        <f t="shared" si="14"/>
        <v>100</v>
      </c>
      <c r="E117" s="580"/>
      <c r="F117" s="580"/>
      <c r="J117" s="26">
        <f t="shared" si="16"/>
        <v>0</v>
      </c>
      <c r="K117" s="5">
        <f t="shared" si="17"/>
        <v>0</v>
      </c>
      <c r="L117" s="5">
        <f t="shared" si="18"/>
        <v>0</v>
      </c>
      <c r="M117" s="5">
        <f t="shared" si="19"/>
        <v>0</v>
      </c>
      <c r="N117" s="5">
        <f t="shared" si="20"/>
        <v>0</v>
      </c>
      <c r="O117" s="5">
        <f t="shared" si="21"/>
        <v>0</v>
      </c>
      <c r="P117" s="5">
        <f t="shared" si="22"/>
        <v>0</v>
      </c>
      <c r="Q117" s="5">
        <f t="shared" si="23"/>
        <v>0</v>
      </c>
      <c r="R117" s="5">
        <f t="shared" si="24"/>
        <v>0</v>
      </c>
      <c r="S117" s="5">
        <f t="shared" si="25"/>
        <v>0</v>
      </c>
      <c r="T117" s="5">
        <f t="shared" si="26"/>
        <v>0</v>
      </c>
      <c r="U117" s="5">
        <f t="shared" si="27"/>
        <v>0</v>
      </c>
      <c r="V117" s="5">
        <f t="shared" si="15"/>
        <v>0</v>
      </c>
    </row>
    <row r="118" spans="1:22" ht="13.5" customHeight="1" x14ac:dyDescent="0.25">
      <c r="A118" s="594"/>
      <c r="B118" s="377"/>
      <c r="C118" s="377"/>
      <c r="D118" s="443">
        <f t="shared" si="14"/>
        <v>100</v>
      </c>
      <c r="E118" s="580"/>
      <c r="F118" s="580"/>
      <c r="J118" s="26">
        <f t="shared" si="16"/>
        <v>0</v>
      </c>
      <c r="K118" s="5">
        <f t="shared" si="17"/>
        <v>0</v>
      </c>
      <c r="L118" s="5">
        <f t="shared" si="18"/>
        <v>0</v>
      </c>
      <c r="M118" s="5">
        <f t="shared" si="19"/>
        <v>0</v>
      </c>
      <c r="N118" s="5">
        <f t="shared" si="20"/>
        <v>0</v>
      </c>
      <c r="O118" s="5">
        <f t="shared" si="21"/>
        <v>0</v>
      </c>
      <c r="P118" s="5">
        <f t="shared" si="22"/>
        <v>0</v>
      </c>
      <c r="Q118" s="5">
        <f t="shared" si="23"/>
        <v>0</v>
      </c>
      <c r="R118" s="5">
        <f t="shared" si="24"/>
        <v>0</v>
      </c>
      <c r="S118" s="5">
        <f t="shared" si="25"/>
        <v>0</v>
      </c>
      <c r="T118" s="5">
        <f t="shared" si="26"/>
        <v>0</v>
      </c>
      <c r="U118" s="5">
        <f t="shared" si="27"/>
        <v>0</v>
      </c>
      <c r="V118" s="5">
        <f t="shared" si="15"/>
        <v>0</v>
      </c>
    </row>
    <row r="119" spans="1:22" ht="13.5" customHeight="1" x14ac:dyDescent="0.25">
      <c r="A119" s="594"/>
      <c r="B119" s="377"/>
      <c r="C119" s="377"/>
      <c r="D119" s="443">
        <f t="shared" si="14"/>
        <v>100</v>
      </c>
      <c r="E119" s="580"/>
      <c r="F119" s="580"/>
      <c r="J119" s="26">
        <f t="shared" si="16"/>
        <v>0</v>
      </c>
      <c r="K119" s="5">
        <f t="shared" si="17"/>
        <v>0</v>
      </c>
      <c r="L119" s="5">
        <f t="shared" si="18"/>
        <v>0</v>
      </c>
      <c r="M119" s="5">
        <f t="shared" si="19"/>
        <v>0</v>
      </c>
      <c r="N119" s="5">
        <f t="shared" si="20"/>
        <v>0</v>
      </c>
      <c r="O119" s="5">
        <f t="shared" si="21"/>
        <v>0</v>
      </c>
      <c r="P119" s="5">
        <f t="shared" si="22"/>
        <v>0</v>
      </c>
      <c r="Q119" s="5">
        <f t="shared" si="23"/>
        <v>0</v>
      </c>
      <c r="R119" s="5">
        <f t="shared" si="24"/>
        <v>0</v>
      </c>
      <c r="S119" s="5">
        <f t="shared" si="25"/>
        <v>0</v>
      </c>
      <c r="T119" s="5">
        <f t="shared" si="26"/>
        <v>0</v>
      </c>
      <c r="U119" s="5">
        <f t="shared" si="27"/>
        <v>0</v>
      </c>
      <c r="V119" s="5">
        <f t="shared" si="15"/>
        <v>0</v>
      </c>
    </row>
    <row r="120" spans="1:22" ht="13.5" customHeight="1" x14ac:dyDescent="0.25">
      <c r="A120" s="594"/>
      <c r="B120" s="377"/>
      <c r="C120" s="377"/>
      <c r="D120" s="443">
        <f t="shared" si="14"/>
        <v>100</v>
      </c>
      <c r="E120" s="580"/>
      <c r="F120" s="580"/>
      <c r="J120" s="26">
        <f t="shared" si="16"/>
        <v>0</v>
      </c>
      <c r="K120" s="5">
        <f t="shared" si="17"/>
        <v>0</v>
      </c>
      <c r="L120" s="5">
        <f t="shared" si="18"/>
        <v>0</v>
      </c>
      <c r="M120" s="5">
        <f t="shared" si="19"/>
        <v>0</v>
      </c>
      <c r="N120" s="5">
        <f t="shared" si="20"/>
        <v>0</v>
      </c>
      <c r="O120" s="5">
        <f t="shared" si="21"/>
        <v>0</v>
      </c>
      <c r="P120" s="5">
        <f t="shared" si="22"/>
        <v>0</v>
      </c>
      <c r="Q120" s="5">
        <f t="shared" si="23"/>
        <v>0</v>
      </c>
      <c r="R120" s="5">
        <f t="shared" si="24"/>
        <v>0</v>
      </c>
      <c r="S120" s="5">
        <f t="shared" si="25"/>
        <v>0</v>
      </c>
      <c r="T120" s="5">
        <f t="shared" si="26"/>
        <v>0</v>
      </c>
      <c r="U120" s="5">
        <f t="shared" si="27"/>
        <v>0</v>
      </c>
      <c r="V120" s="5">
        <f t="shared" si="15"/>
        <v>0</v>
      </c>
    </row>
    <row r="121" spans="1:22" ht="13.5" customHeight="1" x14ac:dyDescent="0.25">
      <c r="A121" s="594"/>
      <c r="B121" s="377"/>
      <c r="C121" s="377"/>
      <c r="D121" s="443">
        <f t="shared" si="14"/>
        <v>100</v>
      </c>
      <c r="E121" s="580"/>
      <c r="F121" s="580"/>
      <c r="J121" s="26">
        <f t="shared" si="16"/>
        <v>0</v>
      </c>
      <c r="K121" s="5">
        <f t="shared" si="17"/>
        <v>0</v>
      </c>
      <c r="L121" s="5">
        <f t="shared" si="18"/>
        <v>0</v>
      </c>
      <c r="M121" s="5">
        <f t="shared" si="19"/>
        <v>0</v>
      </c>
      <c r="N121" s="5">
        <f t="shared" si="20"/>
        <v>0</v>
      </c>
      <c r="O121" s="5">
        <f t="shared" si="21"/>
        <v>0</v>
      </c>
      <c r="P121" s="5">
        <f t="shared" si="22"/>
        <v>0</v>
      </c>
      <c r="Q121" s="5">
        <f t="shared" si="23"/>
        <v>0</v>
      </c>
      <c r="R121" s="5">
        <f t="shared" si="24"/>
        <v>0</v>
      </c>
      <c r="S121" s="5">
        <f t="shared" si="25"/>
        <v>0</v>
      </c>
      <c r="T121" s="5">
        <f t="shared" si="26"/>
        <v>0</v>
      </c>
      <c r="U121" s="5">
        <f t="shared" si="27"/>
        <v>0</v>
      </c>
      <c r="V121" s="5">
        <f t="shared" si="15"/>
        <v>0</v>
      </c>
    </row>
    <row r="122" spans="1:22" ht="13.5" customHeight="1" x14ac:dyDescent="0.25">
      <c r="A122" s="594"/>
      <c r="B122" s="377"/>
      <c r="C122" s="377"/>
      <c r="D122" s="443">
        <f t="shared" si="14"/>
        <v>100</v>
      </c>
      <c r="E122" s="580"/>
      <c r="F122" s="580"/>
      <c r="J122" s="26">
        <f t="shared" si="16"/>
        <v>0</v>
      </c>
      <c r="K122" s="5">
        <f t="shared" si="17"/>
        <v>0</v>
      </c>
      <c r="L122" s="5">
        <f t="shared" si="18"/>
        <v>0</v>
      </c>
      <c r="M122" s="5">
        <f t="shared" si="19"/>
        <v>0</v>
      </c>
      <c r="N122" s="5">
        <f t="shared" si="20"/>
        <v>0</v>
      </c>
      <c r="O122" s="5">
        <f t="shared" si="21"/>
        <v>0</v>
      </c>
      <c r="P122" s="5">
        <f t="shared" si="22"/>
        <v>0</v>
      </c>
      <c r="Q122" s="5">
        <f t="shared" si="23"/>
        <v>0</v>
      </c>
      <c r="R122" s="5">
        <f t="shared" si="24"/>
        <v>0</v>
      </c>
      <c r="S122" s="5">
        <f t="shared" si="25"/>
        <v>0</v>
      </c>
      <c r="T122" s="5">
        <f t="shared" si="26"/>
        <v>0</v>
      </c>
      <c r="U122" s="5">
        <f t="shared" si="27"/>
        <v>0</v>
      </c>
      <c r="V122" s="5">
        <f t="shared" si="15"/>
        <v>0</v>
      </c>
    </row>
    <row r="123" spans="1:22" ht="13.5" customHeight="1" x14ac:dyDescent="0.25">
      <c r="A123" s="594"/>
      <c r="B123" s="377"/>
      <c r="C123" s="377"/>
      <c r="D123" s="443">
        <f t="shared" si="14"/>
        <v>100</v>
      </c>
      <c r="E123" s="580"/>
      <c r="F123" s="580"/>
      <c r="J123" s="26">
        <f t="shared" si="16"/>
        <v>0</v>
      </c>
      <c r="K123" s="5">
        <f t="shared" si="17"/>
        <v>0</v>
      </c>
      <c r="L123" s="5">
        <f t="shared" si="18"/>
        <v>0</v>
      </c>
      <c r="M123" s="5">
        <f t="shared" si="19"/>
        <v>0</v>
      </c>
      <c r="N123" s="5">
        <f t="shared" si="20"/>
        <v>0</v>
      </c>
      <c r="O123" s="5">
        <f t="shared" si="21"/>
        <v>0</v>
      </c>
      <c r="P123" s="5">
        <f t="shared" si="22"/>
        <v>0</v>
      </c>
      <c r="Q123" s="5">
        <f t="shared" si="23"/>
        <v>0</v>
      </c>
      <c r="R123" s="5">
        <f t="shared" si="24"/>
        <v>0</v>
      </c>
      <c r="S123" s="5">
        <f t="shared" si="25"/>
        <v>0</v>
      </c>
      <c r="T123" s="5">
        <f t="shared" si="26"/>
        <v>0</v>
      </c>
      <c r="U123" s="5">
        <f t="shared" si="27"/>
        <v>0</v>
      </c>
      <c r="V123" s="5">
        <f t="shared" si="15"/>
        <v>0</v>
      </c>
    </row>
    <row r="124" spans="1:22" ht="13.5" customHeight="1" x14ac:dyDescent="0.25">
      <c r="A124" s="594"/>
      <c r="B124" s="377"/>
      <c r="C124" s="377"/>
      <c r="D124" s="443">
        <f t="shared" si="14"/>
        <v>100</v>
      </c>
      <c r="E124" s="580"/>
      <c r="F124" s="580"/>
      <c r="J124" s="26">
        <f t="shared" si="16"/>
        <v>0</v>
      </c>
      <c r="K124" s="5">
        <f t="shared" si="17"/>
        <v>0</v>
      </c>
      <c r="L124" s="5">
        <f t="shared" si="18"/>
        <v>0</v>
      </c>
      <c r="M124" s="5">
        <f t="shared" si="19"/>
        <v>0</v>
      </c>
      <c r="N124" s="5">
        <f t="shared" si="20"/>
        <v>0</v>
      </c>
      <c r="O124" s="5">
        <f t="shared" si="21"/>
        <v>0</v>
      </c>
      <c r="P124" s="5">
        <f t="shared" si="22"/>
        <v>0</v>
      </c>
      <c r="Q124" s="5">
        <f t="shared" si="23"/>
        <v>0</v>
      </c>
      <c r="R124" s="5">
        <f t="shared" si="24"/>
        <v>0</v>
      </c>
      <c r="S124" s="5">
        <f t="shared" si="25"/>
        <v>0</v>
      </c>
      <c r="T124" s="5">
        <f t="shared" si="26"/>
        <v>0</v>
      </c>
      <c r="U124" s="5">
        <f t="shared" si="27"/>
        <v>0</v>
      </c>
      <c r="V124" s="5">
        <f t="shared" si="15"/>
        <v>0</v>
      </c>
    </row>
    <row r="125" spans="1:22" ht="13.5" customHeight="1" x14ac:dyDescent="0.25">
      <c r="A125" s="594"/>
      <c r="B125" s="377"/>
      <c r="C125" s="377"/>
      <c r="D125" s="443">
        <f t="shared" si="14"/>
        <v>100</v>
      </c>
      <c r="E125" s="580"/>
      <c r="F125" s="580"/>
      <c r="J125" s="26">
        <f t="shared" si="16"/>
        <v>0</v>
      </c>
      <c r="K125" s="5">
        <f t="shared" si="17"/>
        <v>0</v>
      </c>
      <c r="L125" s="5">
        <f t="shared" si="18"/>
        <v>0</v>
      </c>
      <c r="M125" s="5">
        <f t="shared" si="19"/>
        <v>0</v>
      </c>
      <c r="N125" s="5">
        <f t="shared" si="20"/>
        <v>0</v>
      </c>
      <c r="O125" s="5">
        <f t="shared" si="21"/>
        <v>0</v>
      </c>
      <c r="P125" s="5">
        <f t="shared" si="22"/>
        <v>0</v>
      </c>
      <c r="Q125" s="5">
        <f t="shared" si="23"/>
        <v>0</v>
      </c>
      <c r="R125" s="5">
        <f t="shared" si="24"/>
        <v>0</v>
      </c>
      <c r="S125" s="5">
        <f t="shared" si="25"/>
        <v>0</v>
      </c>
      <c r="T125" s="5">
        <f t="shared" si="26"/>
        <v>0</v>
      </c>
      <c r="U125" s="5">
        <f t="shared" si="27"/>
        <v>0</v>
      </c>
      <c r="V125" s="5">
        <f t="shared" si="15"/>
        <v>0</v>
      </c>
    </row>
    <row r="126" spans="1:22" ht="13.5" customHeight="1" x14ac:dyDescent="0.25">
      <c r="A126" s="594"/>
      <c r="B126" s="377"/>
      <c r="C126" s="377"/>
      <c r="D126" s="443">
        <f t="shared" si="14"/>
        <v>100</v>
      </c>
      <c r="E126" s="580"/>
      <c r="F126" s="580"/>
      <c r="J126" s="26">
        <f t="shared" si="16"/>
        <v>0</v>
      </c>
      <c r="K126" s="5">
        <f t="shared" si="17"/>
        <v>0</v>
      </c>
      <c r="L126" s="5">
        <f t="shared" si="18"/>
        <v>0</v>
      </c>
      <c r="M126" s="5">
        <f t="shared" si="19"/>
        <v>0</v>
      </c>
      <c r="N126" s="5">
        <f t="shared" si="20"/>
        <v>0</v>
      </c>
      <c r="O126" s="5">
        <f t="shared" si="21"/>
        <v>0</v>
      </c>
      <c r="P126" s="5">
        <f t="shared" si="22"/>
        <v>0</v>
      </c>
      <c r="Q126" s="5">
        <f t="shared" si="23"/>
        <v>0</v>
      </c>
      <c r="R126" s="5">
        <f t="shared" si="24"/>
        <v>0</v>
      </c>
      <c r="S126" s="5">
        <f t="shared" si="25"/>
        <v>0</v>
      </c>
      <c r="T126" s="5">
        <f t="shared" si="26"/>
        <v>0</v>
      </c>
      <c r="U126" s="5">
        <f t="shared" si="27"/>
        <v>0</v>
      </c>
      <c r="V126" s="5">
        <f t="shared" si="15"/>
        <v>0</v>
      </c>
    </row>
    <row r="127" spans="1:22" ht="13.5" customHeight="1" x14ac:dyDescent="0.25">
      <c r="A127" s="594"/>
      <c r="B127" s="377"/>
      <c r="C127" s="377"/>
      <c r="D127" s="443">
        <f t="shared" si="14"/>
        <v>100</v>
      </c>
      <c r="E127" s="580"/>
      <c r="F127" s="580"/>
      <c r="J127" s="26">
        <f t="shared" si="16"/>
        <v>0</v>
      </c>
      <c r="K127" s="5">
        <f t="shared" si="17"/>
        <v>0</v>
      </c>
      <c r="L127" s="5">
        <f t="shared" si="18"/>
        <v>0</v>
      </c>
      <c r="M127" s="5">
        <f t="shared" si="19"/>
        <v>0</v>
      </c>
      <c r="N127" s="5">
        <f t="shared" si="20"/>
        <v>0</v>
      </c>
      <c r="O127" s="5">
        <f t="shared" si="21"/>
        <v>0</v>
      </c>
      <c r="P127" s="5">
        <f t="shared" si="22"/>
        <v>0</v>
      </c>
      <c r="Q127" s="5">
        <f t="shared" si="23"/>
        <v>0</v>
      </c>
      <c r="R127" s="5">
        <f t="shared" si="24"/>
        <v>0</v>
      </c>
      <c r="S127" s="5">
        <f t="shared" si="25"/>
        <v>0</v>
      </c>
      <c r="T127" s="5">
        <f t="shared" si="26"/>
        <v>0</v>
      </c>
      <c r="U127" s="5">
        <f t="shared" si="27"/>
        <v>0</v>
      </c>
      <c r="V127" s="5">
        <f t="shared" si="15"/>
        <v>0</v>
      </c>
    </row>
    <row r="128" spans="1:22" ht="13.5" customHeight="1" x14ac:dyDescent="0.25">
      <c r="A128" s="594"/>
      <c r="B128" s="377"/>
      <c r="C128" s="377"/>
      <c r="D128" s="443">
        <f t="shared" si="14"/>
        <v>100</v>
      </c>
      <c r="E128" s="580"/>
      <c r="F128" s="580"/>
      <c r="J128" s="26">
        <f t="shared" si="16"/>
        <v>0</v>
      </c>
      <c r="K128" s="5">
        <f t="shared" si="17"/>
        <v>0</v>
      </c>
      <c r="L128" s="5">
        <f t="shared" si="18"/>
        <v>0</v>
      </c>
      <c r="M128" s="5">
        <f t="shared" si="19"/>
        <v>0</v>
      </c>
      <c r="N128" s="5">
        <f t="shared" si="20"/>
        <v>0</v>
      </c>
      <c r="O128" s="5">
        <f t="shared" si="21"/>
        <v>0</v>
      </c>
      <c r="P128" s="5">
        <f t="shared" si="22"/>
        <v>0</v>
      </c>
      <c r="Q128" s="5">
        <f t="shared" si="23"/>
        <v>0</v>
      </c>
      <c r="R128" s="5">
        <f t="shared" si="24"/>
        <v>0</v>
      </c>
      <c r="S128" s="5">
        <f t="shared" si="25"/>
        <v>0</v>
      </c>
      <c r="T128" s="5">
        <f t="shared" si="26"/>
        <v>0</v>
      </c>
      <c r="U128" s="5">
        <f t="shared" si="27"/>
        <v>0</v>
      </c>
      <c r="V128" s="5">
        <f t="shared" si="15"/>
        <v>0</v>
      </c>
    </row>
    <row r="129" spans="1:22" ht="13.5" customHeight="1" x14ac:dyDescent="0.25">
      <c r="A129" s="594"/>
      <c r="B129" s="377"/>
      <c r="C129" s="377"/>
      <c r="D129" s="443">
        <f t="shared" si="14"/>
        <v>100</v>
      </c>
      <c r="E129" s="580"/>
      <c r="F129" s="580"/>
      <c r="J129" s="26">
        <f t="shared" si="16"/>
        <v>0</v>
      </c>
      <c r="K129" s="5">
        <f t="shared" si="17"/>
        <v>0</v>
      </c>
      <c r="L129" s="5">
        <f t="shared" si="18"/>
        <v>0</v>
      </c>
      <c r="M129" s="5">
        <f t="shared" si="19"/>
        <v>0</v>
      </c>
      <c r="N129" s="5">
        <f t="shared" si="20"/>
        <v>0</v>
      </c>
      <c r="O129" s="5">
        <f t="shared" si="21"/>
        <v>0</v>
      </c>
      <c r="P129" s="5">
        <f t="shared" si="22"/>
        <v>0</v>
      </c>
      <c r="Q129" s="5">
        <f t="shared" si="23"/>
        <v>0</v>
      </c>
      <c r="R129" s="5">
        <f t="shared" si="24"/>
        <v>0</v>
      </c>
      <c r="S129" s="5">
        <f t="shared" si="25"/>
        <v>0</v>
      </c>
      <c r="T129" s="5">
        <f t="shared" si="26"/>
        <v>0</v>
      </c>
      <c r="U129" s="5">
        <f t="shared" si="27"/>
        <v>0</v>
      </c>
      <c r="V129" s="5">
        <f t="shared" si="15"/>
        <v>0</v>
      </c>
    </row>
    <row r="130" spans="1:22" ht="13.5" customHeight="1" x14ac:dyDescent="0.25">
      <c r="A130" s="594"/>
      <c r="B130" s="377"/>
      <c r="C130" s="377"/>
      <c r="D130" s="443">
        <f t="shared" si="14"/>
        <v>100</v>
      </c>
      <c r="E130" s="580"/>
      <c r="F130" s="580"/>
      <c r="J130" s="26">
        <f t="shared" si="16"/>
        <v>0</v>
      </c>
      <c r="K130" s="5">
        <f t="shared" si="17"/>
        <v>0</v>
      </c>
      <c r="L130" s="5">
        <f t="shared" si="18"/>
        <v>0</v>
      </c>
      <c r="M130" s="5">
        <f t="shared" si="19"/>
        <v>0</v>
      </c>
      <c r="N130" s="5">
        <f t="shared" si="20"/>
        <v>0</v>
      </c>
      <c r="O130" s="5">
        <f t="shared" si="21"/>
        <v>0</v>
      </c>
      <c r="P130" s="5">
        <f t="shared" si="22"/>
        <v>0</v>
      </c>
      <c r="Q130" s="5">
        <f t="shared" si="23"/>
        <v>0</v>
      </c>
      <c r="R130" s="5">
        <f t="shared" si="24"/>
        <v>0</v>
      </c>
      <c r="S130" s="5">
        <f t="shared" si="25"/>
        <v>0</v>
      </c>
      <c r="T130" s="5">
        <f t="shared" si="26"/>
        <v>0</v>
      </c>
      <c r="U130" s="5">
        <f t="shared" si="27"/>
        <v>0</v>
      </c>
      <c r="V130" s="5">
        <f t="shared" si="15"/>
        <v>0</v>
      </c>
    </row>
    <row r="131" spans="1:22" ht="13.5" customHeight="1" x14ac:dyDescent="0.25">
      <c r="A131" s="594"/>
      <c r="B131" s="377"/>
      <c r="C131" s="377"/>
      <c r="D131" s="443">
        <f t="shared" si="14"/>
        <v>100</v>
      </c>
      <c r="E131" s="580"/>
      <c r="F131" s="580"/>
      <c r="J131" s="26">
        <f t="shared" si="16"/>
        <v>0</v>
      </c>
      <c r="K131" s="5">
        <f t="shared" si="17"/>
        <v>0</v>
      </c>
      <c r="L131" s="5">
        <f t="shared" si="18"/>
        <v>0</v>
      </c>
      <c r="M131" s="5">
        <f t="shared" si="19"/>
        <v>0</v>
      </c>
      <c r="N131" s="5">
        <f t="shared" si="20"/>
        <v>0</v>
      </c>
      <c r="O131" s="5">
        <f t="shared" si="21"/>
        <v>0</v>
      </c>
      <c r="P131" s="5">
        <f t="shared" si="22"/>
        <v>0</v>
      </c>
      <c r="Q131" s="5">
        <f t="shared" si="23"/>
        <v>0</v>
      </c>
      <c r="R131" s="5">
        <f t="shared" si="24"/>
        <v>0</v>
      </c>
      <c r="S131" s="5">
        <f t="shared" si="25"/>
        <v>0</v>
      </c>
      <c r="T131" s="5">
        <f t="shared" si="26"/>
        <v>0</v>
      </c>
      <c r="U131" s="5">
        <f t="shared" si="27"/>
        <v>0</v>
      </c>
      <c r="V131" s="5">
        <f t="shared" si="15"/>
        <v>0</v>
      </c>
    </row>
    <row r="132" spans="1:22" ht="13.5" customHeight="1" x14ac:dyDescent="0.25">
      <c r="A132" s="594"/>
      <c r="B132" s="377"/>
      <c r="C132" s="377"/>
      <c r="D132" s="443">
        <f t="shared" si="14"/>
        <v>100</v>
      </c>
      <c r="E132" s="580"/>
      <c r="F132" s="580"/>
      <c r="J132" s="26">
        <f t="shared" si="16"/>
        <v>0</v>
      </c>
      <c r="K132" s="5">
        <f t="shared" si="17"/>
        <v>0</v>
      </c>
      <c r="L132" s="5">
        <f t="shared" si="18"/>
        <v>0</v>
      </c>
      <c r="M132" s="5">
        <f t="shared" si="19"/>
        <v>0</v>
      </c>
      <c r="N132" s="5">
        <f t="shared" si="20"/>
        <v>0</v>
      </c>
      <c r="O132" s="5">
        <f t="shared" si="21"/>
        <v>0</v>
      </c>
      <c r="P132" s="5">
        <f t="shared" si="22"/>
        <v>0</v>
      </c>
      <c r="Q132" s="5">
        <f t="shared" si="23"/>
        <v>0</v>
      </c>
      <c r="R132" s="5">
        <f t="shared" si="24"/>
        <v>0</v>
      </c>
      <c r="S132" s="5">
        <f t="shared" si="25"/>
        <v>0</v>
      </c>
      <c r="T132" s="5">
        <f t="shared" si="26"/>
        <v>0</v>
      </c>
      <c r="U132" s="5">
        <f t="shared" si="27"/>
        <v>0</v>
      </c>
      <c r="V132" s="5">
        <f t="shared" si="15"/>
        <v>0</v>
      </c>
    </row>
    <row r="133" spans="1:22" ht="13.5" customHeight="1" x14ac:dyDescent="0.25">
      <c r="A133" s="594"/>
      <c r="B133" s="377"/>
      <c r="C133" s="377"/>
      <c r="D133" s="443">
        <f t="shared" si="14"/>
        <v>100</v>
      </c>
      <c r="E133" s="580"/>
      <c r="F133" s="580"/>
      <c r="J133" s="26">
        <f t="shared" si="16"/>
        <v>0</v>
      </c>
      <c r="K133" s="5">
        <f t="shared" si="17"/>
        <v>0</v>
      </c>
      <c r="L133" s="5">
        <f t="shared" si="18"/>
        <v>0</v>
      </c>
      <c r="M133" s="5">
        <f t="shared" si="19"/>
        <v>0</v>
      </c>
      <c r="N133" s="5">
        <f t="shared" si="20"/>
        <v>0</v>
      </c>
      <c r="O133" s="5">
        <f t="shared" si="21"/>
        <v>0</v>
      </c>
      <c r="P133" s="5">
        <f t="shared" si="22"/>
        <v>0</v>
      </c>
      <c r="Q133" s="5">
        <f t="shared" si="23"/>
        <v>0</v>
      </c>
      <c r="R133" s="5">
        <f t="shared" si="24"/>
        <v>0</v>
      </c>
      <c r="S133" s="5">
        <f t="shared" si="25"/>
        <v>0</v>
      </c>
      <c r="T133" s="5">
        <f t="shared" si="26"/>
        <v>0</v>
      </c>
      <c r="U133" s="5">
        <f t="shared" si="27"/>
        <v>0</v>
      </c>
      <c r="V133" s="5">
        <f t="shared" si="15"/>
        <v>0</v>
      </c>
    </row>
    <row r="134" spans="1:22" ht="13.5" customHeight="1" x14ac:dyDescent="0.25">
      <c r="A134" s="594"/>
      <c r="B134" s="377"/>
      <c r="C134" s="377"/>
      <c r="D134" s="443">
        <f t="shared" si="14"/>
        <v>100</v>
      </c>
      <c r="E134" s="580"/>
      <c r="F134" s="580"/>
      <c r="J134" s="26">
        <f t="shared" si="16"/>
        <v>0</v>
      </c>
      <c r="K134" s="5">
        <f t="shared" si="17"/>
        <v>0</v>
      </c>
      <c r="L134" s="5">
        <f t="shared" si="18"/>
        <v>0</v>
      </c>
      <c r="M134" s="5">
        <f t="shared" si="19"/>
        <v>0</v>
      </c>
      <c r="N134" s="5">
        <f t="shared" si="20"/>
        <v>0</v>
      </c>
      <c r="O134" s="5">
        <f t="shared" si="21"/>
        <v>0</v>
      </c>
      <c r="P134" s="5">
        <f t="shared" si="22"/>
        <v>0</v>
      </c>
      <c r="Q134" s="5">
        <f t="shared" si="23"/>
        <v>0</v>
      </c>
      <c r="R134" s="5">
        <f t="shared" si="24"/>
        <v>0</v>
      </c>
      <c r="S134" s="5">
        <f t="shared" si="25"/>
        <v>0</v>
      </c>
      <c r="T134" s="5">
        <f t="shared" si="26"/>
        <v>0</v>
      </c>
      <c r="U134" s="5">
        <f t="shared" si="27"/>
        <v>0</v>
      </c>
      <c r="V134" s="5">
        <f t="shared" si="15"/>
        <v>0</v>
      </c>
    </row>
    <row r="135" spans="1:22" ht="13.5" customHeight="1" x14ac:dyDescent="0.25">
      <c r="A135" s="594"/>
      <c r="B135" s="377"/>
      <c r="C135" s="377"/>
      <c r="D135" s="443">
        <f t="shared" si="14"/>
        <v>100</v>
      </c>
      <c r="E135" s="580"/>
      <c r="F135" s="580"/>
      <c r="J135" s="26">
        <f t="shared" si="16"/>
        <v>0</v>
      </c>
      <c r="K135" s="5">
        <f t="shared" si="17"/>
        <v>0</v>
      </c>
      <c r="L135" s="5">
        <f t="shared" si="18"/>
        <v>0</v>
      </c>
      <c r="M135" s="5">
        <f t="shared" si="19"/>
        <v>0</v>
      </c>
      <c r="N135" s="5">
        <f t="shared" si="20"/>
        <v>0</v>
      </c>
      <c r="O135" s="5">
        <f t="shared" si="21"/>
        <v>0</v>
      </c>
      <c r="P135" s="5">
        <f t="shared" si="22"/>
        <v>0</v>
      </c>
      <c r="Q135" s="5">
        <f t="shared" si="23"/>
        <v>0</v>
      </c>
      <c r="R135" s="5">
        <f t="shared" si="24"/>
        <v>0</v>
      </c>
      <c r="S135" s="5">
        <f t="shared" si="25"/>
        <v>0</v>
      </c>
      <c r="T135" s="5">
        <f t="shared" si="26"/>
        <v>0</v>
      </c>
      <c r="U135" s="5">
        <f t="shared" si="27"/>
        <v>0</v>
      </c>
      <c r="V135" s="5">
        <f t="shared" si="15"/>
        <v>0</v>
      </c>
    </row>
    <row r="136" spans="1:22" ht="13.5" customHeight="1" x14ac:dyDescent="0.25">
      <c r="A136" s="594"/>
      <c r="B136" s="377"/>
      <c r="C136" s="377"/>
      <c r="D136" s="443">
        <f t="shared" si="14"/>
        <v>100</v>
      </c>
      <c r="E136" s="580"/>
      <c r="F136" s="580"/>
      <c r="J136" s="26">
        <f t="shared" si="16"/>
        <v>0</v>
      </c>
      <c r="K136" s="5">
        <f t="shared" si="17"/>
        <v>0</v>
      </c>
      <c r="L136" s="5">
        <f t="shared" si="18"/>
        <v>0</v>
      </c>
      <c r="M136" s="5">
        <f t="shared" si="19"/>
        <v>0</v>
      </c>
      <c r="N136" s="5">
        <f t="shared" si="20"/>
        <v>0</v>
      </c>
      <c r="O136" s="5">
        <f t="shared" si="21"/>
        <v>0</v>
      </c>
      <c r="P136" s="5">
        <f t="shared" si="22"/>
        <v>0</v>
      </c>
      <c r="Q136" s="5">
        <f t="shared" si="23"/>
        <v>0</v>
      </c>
      <c r="R136" s="5">
        <f t="shared" si="24"/>
        <v>0</v>
      </c>
      <c r="S136" s="5">
        <f t="shared" si="25"/>
        <v>0</v>
      </c>
      <c r="T136" s="5">
        <f t="shared" si="26"/>
        <v>0</v>
      </c>
      <c r="U136" s="5">
        <f t="shared" si="27"/>
        <v>0</v>
      </c>
      <c r="V136" s="5">
        <f t="shared" si="15"/>
        <v>0</v>
      </c>
    </row>
    <row r="137" spans="1:22" ht="13.5" customHeight="1" x14ac:dyDescent="0.25">
      <c r="A137" s="594"/>
      <c r="B137" s="377"/>
      <c r="C137" s="377"/>
      <c r="D137" s="443">
        <f t="shared" si="14"/>
        <v>100</v>
      </c>
      <c r="E137" s="580"/>
      <c r="F137" s="580"/>
      <c r="J137" s="26">
        <f t="shared" si="16"/>
        <v>0</v>
      </c>
      <c r="K137" s="5">
        <f t="shared" si="17"/>
        <v>0</v>
      </c>
      <c r="L137" s="5">
        <f t="shared" si="18"/>
        <v>0</v>
      </c>
      <c r="M137" s="5">
        <f t="shared" si="19"/>
        <v>0</v>
      </c>
      <c r="N137" s="5">
        <f t="shared" si="20"/>
        <v>0</v>
      </c>
      <c r="O137" s="5">
        <f t="shared" si="21"/>
        <v>0</v>
      </c>
      <c r="P137" s="5">
        <f t="shared" si="22"/>
        <v>0</v>
      </c>
      <c r="Q137" s="5">
        <f t="shared" si="23"/>
        <v>0</v>
      </c>
      <c r="R137" s="5">
        <f t="shared" si="24"/>
        <v>0</v>
      </c>
      <c r="S137" s="5">
        <f t="shared" si="25"/>
        <v>0</v>
      </c>
      <c r="T137" s="5">
        <f t="shared" si="26"/>
        <v>0</v>
      </c>
      <c r="U137" s="5">
        <f t="shared" si="27"/>
        <v>0</v>
      </c>
      <c r="V137" s="5">
        <f t="shared" si="15"/>
        <v>0</v>
      </c>
    </row>
    <row r="138" spans="1:22" ht="13.5" customHeight="1" x14ac:dyDescent="0.25">
      <c r="A138" s="594"/>
      <c r="B138" s="377"/>
      <c r="C138" s="377"/>
      <c r="D138" s="443">
        <f t="shared" si="14"/>
        <v>100</v>
      </c>
      <c r="E138" s="580"/>
      <c r="F138" s="580"/>
      <c r="J138" s="26">
        <f t="shared" si="16"/>
        <v>0</v>
      </c>
      <c r="K138" s="5">
        <f t="shared" si="17"/>
        <v>0</v>
      </c>
      <c r="L138" s="5">
        <f t="shared" si="18"/>
        <v>0</v>
      </c>
      <c r="M138" s="5">
        <f t="shared" si="19"/>
        <v>0</v>
      </c>
      <c r="N138" s="5">
        <f t="shared" si="20"/>
        <v>0</v>
      </c>
      <c r="O138" s="5">
        <f t="shared" si="21"/>
        <v>0</v>
      </c>
      <c r="P138" s="5">
        <f t="shared" si="22"/>
        <v>0</v>
      </c>
      <c r="Q138" s="5">
        <f t="shared" si="23"/>
        <v>0</v>
      </c>
      <c r="R138" s="5">
        <f t="shared" si="24"/>
        <v>0</v>
      </c>
      <c r="S138" s="5">
        <f t="shared" si="25"/>
        <v>0</v>
      </c>
      <c r="T138" s="5">
        <f t="shared" si="26"/>
        <v>0</v>
      </c>
      <c r="U138" s="5">
        <f t="shared" si="27"/>
        <v>0</v>
      </c>
      <c r="V138" s="5">
        <f t="shared" si="15"/>
        <v>0</v>
      </c>
    </row>
    <row r="139" spans="1:22" ht="13.5" customHeight="1" x14ac:dyDescent="0.25">
      <c r="A139" s="594"/>
      <c r="B139" s="377"/>
      <c r="C139" s="377"/>
      <c r="D139" s="443">
        <f t="shared" si="14"/>
        <v>100</v>
      </c>
      <c r="E139" s="580"/>
      <c r="F139" s="580"/>
      <c r="J139" s="26">
        <f t="shared" si="16"/>
        <v>0</v>
      </c>
      <c r="K139" s="5">
        <f t="shared" si="17"/>
        <v>0</v>
      </c>
      <c r="L139" s="5">
        <f t="shared" si="18"/>
        <v>0</v>
      </c>
      <c r="M139" s="5">
        <f t="shared" si="19"/>
        <v>0</v>
      </c>
      <c r="N139" s="5">
        <f t="shared" si="20"/>
        <v>0</v>
      </c>
      <c r="O139" s="5">
        <f t="shared" si="21"/>
        <v>0</v>
      </c>
      <c r="P139" s="5">
        <f t="shared" si="22"/>
        <v>0</v>
      </c>
      <c r="Q139" s="5">
        <f t="shared" si="23"/>
        <v>0</v>
      </c>
      <c r="R139" s="5">
        <f t="shared" si="24"/>
        <v>0</v>
      </c>
      <c r="S139" s="5">
        <f t="shared" si="25"/>
        <v>0</v>
      </c>
      <c r="T139" s="5">
        <f t="shared" si="26"/>
        <v>0</v>
      </c>
      <c r="U139" s="5">
        <f t="shared" si="27"/>
        <v>0</v>
      </c>
      <c r="V139" s="5">
        <f t="shared" si="15"/>
        <v>0</v>
      </c>
    </row>
    <row r="140" spans="1:22" ht="13.5" customHeight="1" x14ac:dyDescent="0.25">
      <c r="A140" s="594"/>
      <c r="B140" s="377"/>
      <c r="C140" s="377"/>
      <c r="D140" s="443">
        <f t="shared" si="14"/>
        <v>100</v>
      </c>
      <c r="E140" s="580"/>
      <c r="F140" s="580"/>
      <c r="J140" s="26">
        <f t="shared" si="16"/>
        <v>0</v>
      </c>
      <c r="K140" s="5">
        <f t="shared" si="17"/>
        <v>0</v>
      </c>
      <c r="L140" s="5">
        <f t="shared" si="18"/>
        <v>0</v>
      </c>
      <c r="M140" s="5">
        <f t="shared" si="19"/>
        <v>0</v>
      </c>
      <c r="N140" s="5">
        <f t="shared" si="20"/>
        <v>0</v>
      </c>
      <c r="O140" s="5">
        <f t="shared" si="21"/>
        <v>0</v>
      </c>
      <c r="P140" s="5">
        <f t="shared" si="22"/>
        <v>0</v>
      </c>
      <c r="Q140" s="5">
        <f t="shared" si="23"/>
        <v>0</v>
      </c>
      <c r="R140" s="5">
        <f t="shared" si="24"/>
        <v>0</v>
      </c>
      <c r="S140" s="5">
        <f t="shared" si="25"/>
        <v>0</v>
      </c>
      <c r="T140" s="5">
        <f t="shared" si="26"/>
        <v>0</v>
      </c>
      <c r="U140" s="5">
        <f t="shared" si="27"/>
        <v>0</v>
      </c>
      <c r="V140" s="5">
        <f t="shared" si="15"/>
        <v>0</v>
      </c>
    </row>
    <row r="141" spans="1:22" ht="13.5" customHeight="1" x14ac:dyDescent="0.25">
      <c r="A141" s="594"/>
      <c r="B141" s="377"/>
      <c r="C141" s="377"/>
      <c r="D141" s="443">
        <f t="shared" si="14"/>
        <v>100</v>
      </c>
      <c r="E141" s="580"/>
      <c r="F141" s="580"/>
      <c r="J141" s="26">
        <f t="shared" si="16"/>
        <v>0</v>
      </c>
      <c r="K141" s="5">
        <f t="shared" si="17"/>
        <v>0</v>
      </c>
      <c r="L141" s="5">
        <f t="shared" si="18"/>
        <v>0</v>
      </c>
      <c r="M141" s="5">
        <f t="shared" si="19"/>
        <v>0</v>
      </c>
      <c r="N141" s="5">
        <f t="shared" si="20"/>
        <v>0</v>
      </c>
      <c r="O141" s="5">
        <f t="shared" si="21"/>
        <v>0</v>
      </c>
      <c r="P141" s="5">
        <f t="shared" si="22"/>
        <v>0</v>
      </c>
      <c r="Q141" s="5">
        <f t="shared" si="23"/>
        <v>0</v>
      </c>
      <c r="R141" s="5">
        <f t="shared" si="24"/>
        <v>0</v>
      </c>
      <c r="S141" s="5">
        <f t="shared" si="25"/>
        <v>0</v>
      </c>
      <c r="T141" s="5">
        <f t="shared" si="26"/>
        <v>0</v>
      </c>
      <c r="U141" s="5">
        <f t="shared" si="27"/>
        <v>0</v>
      </c>
      <c r="V141" s="5">
        <f t="shared" si="15"/>
        <v>0</v>
      </c>
    </row>
    <row r="142" spans="1:22" ht="13.5" customHeight="1" x14ac:dyDescent="0.25">
      <c r="A142" s="594"/>
      <c r="B142" s="377"/>
      <c r="C142" s="377"/>
      <c r="D142" s="443">
        <f t="shared" si="14"/>
        <v>100</v>
      </c>
      <c r="E142" s="580"/>
      <c r="F142" s="580"/>
      <c r="J142" s="26">
        <f t="shared" si="16"/>
        <v>0</v>
      </c>
      <c r="K142" s="5">
        <f t="shared" si="17"/>
        <v>0</v>
      </c>
      <c r="L142" s="5">
        <f t="shared" si="18"/>
        <v>0</v>
      </c>
      <c r="M142" s="5">
        <f t="shared" si="19"/>
        <v>0</v>
      </c>
      <c r="N142" s="5">
        <f t="shared" si="20"/>
        <v>0</v>
      </c>
      <c r="O142" s="5">
        <f t="shared" si="21"/>
        <v>0</v>
      </c>
      <c r="P142" s="5">
        <f t="shared" si="22"/>
        <v>0</v>
      </c>
      <c r="Q142" s="5">
        <f t="shared" si="23"/>
        <v>0</v>
      </c>
      <c r="R142" s="5">
        <f t="shared" si="24"/>
        <v>0</v>
      </c>
      <c r="S142" s="5">
        <f t="shared" si="25"/>
        <v>0</v>
      </c>
      <c r="T142" s="5">
        <f t="shared" si="26"/>
        <v>0</v>
      </c>
      <c r="U142" s="5">
        <f t="shared" si="27"/>
        <v>0</v>
      </c>
      <c r="V142" s="5">
        <f t="shared" si="15"/>
        <v>0</v>
      </c>
    </row>
    <row r="143" spans="1:22" ht="13.5" customHeight="1" x14ac:dyDescent="0.25">
      <c r="A143" s="594"/>
      <c r="B143" s="377"/>
      <c r="C143" s="377"/>
      <c r="D143" s="443">
        <f t="shared" si="14"/>
        <v>100</v>
      </c>
      <c r="E143" s="580"/>
      <c r="F143" s="580"/>
      <c r="J143" s="26">
        <f t="shared" si="16"/>
        <v>0</v>
      </c>
      <c r="K143" s="5">
        <f t="shared" si="17"/>
        <v>0</v>
      </c>
      <c r="L143" s="5">
        <f t="shared" si="18"/>
        <v>0</v>
      </c>
      <c r="M143" s="5">
        <f t="shared" si="19"/>
        <v>0</v>
      </c>
      <c r="N143" s="5">
        <f t="shared" si="20"/>
        <v>0</v>
      </c>
      <c r="O143" s="5">
        <f t="shared" si="21"/>
        <v>0</v>
      </c>
      <c r="P143" s="5">
        <f t="shared" si="22"/>
        <v>0</v>
      </c>
      <c r="Q143" s="5">
        <f t="shared" si="23"/>
        <v>0</v>
      </c>
      <c r="R143" s="5">
        <f t="shared" si="24"/>
        <v>0</v>
      </c>
      <c r="S143" s="5">
        <f t="shared" si="25"/>
        <v>0</v>
      </c>
      <c r="T143" s="5">
        <f t="shared" si="26"/>
        <v>0</v>
      </c>
      <c r="U143" s="5">
        <f t="shared" si="27"/>
        <v>0</v>
      </c>
      <c r="V143" s="5">
        <f t="shared" si="15"/>
        <v>0</v>
      </c>
    </row>
    <row r="144" spans="1:22" ht="13.5" customHeight="1" x14ac:dyDescent="0.25">
      <c r="A144" s="594"/>
      <c r="B144" s="377"/>
      <c r="C144" s="377"/>
      <c r="D144" s="443">
        <f t="shared" si="14"/>
        <v>100</v>
      </c>
      <c r="E144" s="580"/>
      <c r="F144" s="580"/>
      <c r="J144" s="26">
        <f t="shared" si="16"/>
        <v>0</v>
      </c>
      <c r="K144" s="5">
        <f t="shared" si="17"/>
        <v>0</v>
      </c>
      <c r="L144" s="5">
        <f t="shared" si="18"/>
        <v>0</v>
      </c>
      <c r="M144" s="5">
        <f t="shared" si="19"/>
        <v>0</v>
      </c>
      <c r="N144" s="5">
        <f t="shared" si="20"/>
        <v>0</v>
      </c>
      <c r="O144" s="5">
        <f t="shared" si="21"/>
        <v>0</v>
      </c>
      <c r="P144" s="5">
        <f t="shared" si="22"/>
        <v>0</v>
      </c>
      <c r="Q144" s="5">
        <f t="shared" si="23"/>
        <v>0</v>
      </c>
      <c r="R144" s="5">
        <f t="shared" si="24"/>
        <v>0</v>
      </c>
      <c r="S144" s="5">
        <f t="shared" si="25"/>
        <v>0</v>
      </c>
      <c r="T144" s="5">
        <f t="shared" si="26"/>
        <v>0</v>
      </c>
      <c r="U144" s="5">
        <f t="shared" si="27"/>
        <v>0</v>
      </c>
      <c r="V144" s="5">
        <f t="shared" si="15"/>
        <v>0</v>
      </c>
    </row>
    <row r="145" spans="1:22" ht="13.5" customHeight="1" x14ac:dyDescent="0.25">
      <c r="A145" s="594"/>
      <c r="B145" s="377"/>
      <c r="C145" s="377"/>
      <c r="D145" s="443">
        <f t="shared" si="14"/>
        <v>100</v>
      </c>
      <c r="E145" s="580"/>
      <c r="F145" s="580"/>
      <c r="J145" s="26">
        <f t="shared" si="16"/>
        <v>0</v>
      </c>
      <c r="K145" s="5">
        <f t="shared" si="17"/>
        <v>0</v>
      </c>
      <c r="L145" s="5">
        <f t="shared" si="18"/>
        <v>0</v>
      </c>
      <c r="M145" s="5">
        <f t="shared" si="19"/>
        <v>0</v>
      </c>
      <c r="N145" s="5">
        <f t="shared" si="20"/>
        <v>0</v>
      </c>
      <c r="O145" s="5">
        <f t="shared" si="21"/>
        <v>0</v>
      </c>
      <c r="P145" s="5">
        <f t="shared" si="22"/>
        <v>0</v>
      </c>
      <c r="Q145" s="5">
        <f t="shared" si="23"/>
        <v>0</v>
      </c>
      <c r="R145" s="5">
        <f t="shared" si="24"/>
        <v>0</v>
      </c>
      <c r="S145" s="5">
        <f t="shared" si="25"/>
        <v>0</v>
      </c>
      <c r="T145" s="5">
        <f t="shared" si="26"/>
        <v>0</v>
      </c>
      <c r="U145" s="5">
        <f t="shared" si="27"/>
        <v>0</v>
      </c>
      <c r="V145" s="5">
        <f t="shared" si="15"/>
        <v>0</v>
      </c>
    </row>
    <row r="146" spans="1:22" ht="13.5" customHeight="1" x14ac:dyDescent="0.25">
      <c r="A146" s="594"/>
      <c r="B146" s="377"/>
      <c r="C146" s="377"/>
      <c r="D146" s="443">
        <f t="shared" si="14"/>
        <v>100</v>
      </c>
      <c r="E146" s="580"/>
      <c r="F146" s="580"/>
      <c r="J146" s="26">
        <f t="shared" si="16"/>
        <v>0</v>
      </c>
      <c r="K146" s="5">
        <f t="shared" si="17"/>
        <v>0</v>
      </c>
      <c r="L146" s="5">
        <f t="shared" si="18"/>
        <v>0</v>
      </c>
      <c r="M146" s="5">
        <f t="shared" si="19"/>
        <v>0</v>
      </c>
      <c r="N146" s="5">
        <f t="shared" si="20"/>
        <v>0</v>
      </c>
      <c r="O146" s="5">
        <f t="shared" si="21"/>
        <v>0</v>
      </c>
      <c r="P146" s="5">
        <f t="shared" si="22"/>
        <v>0</v>
      </c>
      <c r="Q146" s="5">
        <f t="shared" si="23"/>
        <v>0</v>
      </c>
      <c r="R146" s="5">
        <f t="shared" si="24"/>
        <v>0</v>
      </c>
      <c r="S146" s="5">
        <f t="shared" si="25"/>
        <v>0</v>
      </c>
      <c r="T146" s="5">
        <f t="shared" si="26"/>
        <v>0</v>
      </c>
      <c r="U146" s="5">
        <f t="shared" si="27"/>
        <v>0</v>
      </c>
      <c r="V146" s="5">
        <f t="shared" si="15"/>
        <v>0</v>
      </c>
    </row>
    <row r="147" spans="1:22" ht="13.5" customHeight="1" x14ac:dyDescent="0.25">
      <c r="A147" s="594"/>
      <c r="B147" s="377"/>
      <c r="C147" s="377"/>
      <c r="D147" s="443">
        <f t="shared" si="14"/>
        <v>100</v>
      </c>
      <c r="E147" s="580"/>
      <c r="F147" s="580"/>
      <c r="J147" s="26">
        <f t="shared" si="16"/>
        <v>0</v>
      </c>
      <c r="K147" s="5">
        <f t="shared" si="17"/>
        <v>0</v>
      </c>
      <c r="L147" s="5">
        <f t="shared" si="18"/>
        <v>0</v>
      </c>
      <c r="M147" s="5">
        <f t="shared" si="19"/>
        <v>0</v>
      </c>
      <c r="N147" s="5">
        <f t="shared" si="20"/>
        <v>0</v>
      </c>
      <c r="O147" s="5">
        <f t="shared" si="21"/>
        <v>0</v>
      </c>
      <c r="P147" s="5">
        <f t="shared" si="22"/>
        <v>0</v>
      </c>
      <c r="Q147" s="5">
        <f t="shared" si="23"/>
        <v>0</v>
      </c>
      <c r="R147" s="5">
        <f t="shared" si="24"/>
        <v>0</v>
      </c>
      <c r="S147" s="5">
        <f t="shared" si="25"/>
        <v>0</v>
      </c>
      <c r="T147" s="5">
        <f t="shared" si="26"/>
        <v>0</v>
      </c>
      <c r="U147" s="5">
        <f t="shared" si="27"/>
        <v>0</v>
      </c>
      <c r="V147" s="5">
        <f t="shared" si="15"/>
        <v>0</v>
      </c>
    </row>
    <row r="148" spans="1:22" ht="13.5" customHeight="1" x14ac:dyDescent="0.25">
      <c r="A148" s="594"/>
      <c r="B148" s="377"/>
      <c r="C148" s="377"/>
      <c r="D148" s="443">
        <f t="shared" si="14"/>
        <v>100</v>
      </c>
      <c r="E148" s="580"/>
      <c r="F148" s="580"/>
      <c r="J148" s="26">
        <f t="shared" si="16"/>
        <v>0</v>
      </c>
      <c r="K148" s="5">
        <f t="shared" si="17"/>
        <v>0</v>
      </c>
      <c r="L148" s="5">
        <f t="shared" si="18"/>
        <v>0</v>
      </c>
      <c r="M148" s="5">
        <f t="shared" si="19"/>
        <v>0</v>
      </c>
      <c r="N148" s="5">
        <f t="shared" si="20"/>
        <v>0</v>
      </c>
      <c r="O148" s="5">
        <f t="shared" si="21"/>
        <v>0</v>
      </c>
      <c r="P148" s="5">
        <f t="shared" si="22"/>
        <v>0</v>
      </c>
      <c r="Q148" s="5">
        <f t="shared" si="23"/>
        <v>0</v>
      </c>
      <c r="R148" s="5">
        <f t="shared" si="24"/>
        <v>0</v>
      </c>
      <c r="S148" s="5">
        <f t="shared" si="25"/>
        <v>0</v>
      </c>
      <c r="T148" s="5">
        <f t="shared" si="26"/>
        <v>0</v>
      </c>
      <c r="U148" s="5">
        <f t="shared" si="27"/>
        <v>0</v>
      </c>
      <c r="V148" s="5">
        <f t="shared" si="15"/>
        <v>0</v>
      </c>
    </row>
    <row r="149" spans="1:22" ht="13.5" customHeight="1" x14ac:dyDescent="0.25">
      <c r="A149" s="594"/>
      <c r="B149" s="377"/>
      <c r="C149" s="377"/>
      <c r="D149" s="443">
        <f t="shared" si="14"/>
        <v>100</v>
      </c>
      <c r="E149" s="580"/>
      <c r="F149" s="580"/>
      <c r="J149" s="26">
        <f t="shared" si="16"/>
        <v>0</v>
      </c>
      <c r="K149" s="5">
        <f t="shared" si="17"/>
        <v>0</v>
      </c>
      <c r="L149" s="5">
        <f t="shared" si="18"/>
        <v>0</v>
      </c>
      <c r="M149" s="5">
        <f t="shared" si="19"/>
        <v>0</v>
      </c>
      <c r="N149" s="5">
        <f t="shared" si="20"/>
        <v>0</v>
      </c>
      <c r="O149" s="5">
        <f t="shared" si="21"/>
        <v>0</v>
      </c>
      <c r="P149" s="5">
        <f t="shared" si="22"/>
        <v>0</v>
      </c>
      <c r="Q149" s="5">
        <f t="shared" si="23"/>
        <v>0</v>
      </c>
      <c r="R149" s="5">
        <f t="shared" si="24"/>
        <v>0</v>
      </c>
      <c r="S149" s="5">
        <f t="shared" si="25"/>
        <v>0</v>
      </c>
      <c r="T149" s="5">
        <f t="shared" si="26"/>
        <v>0</v>
      </c>
      <c r="U149" s="5">
        <f t="shared" si="27"/>
        <v>0</v>
      </c>
      <c r="V149" s="5">
        <f t="shared" si="15"/>
        <v>0</v>
      </c>
    </row>
    <row r="150" spans="1:22" ht="13.5" customHeight="1" x14ac:dyDescent="0.25">
      <c r="A150" s="594"/>
      <c r="B150" s="377"/>
      <c r="C150" s="377"/>
      <c r="D150" s="443">
        <f t="shared" si="14"/>
        <v>100</v>
      </c>
      <c r="E150" s="580"/>
      <c r="F150" s="580"/>
      <c r="J150" s="26">
        <f t="shared" si="16"/>
        <v>0</v>
      </c>
      <c r="K150" s="5">
        <f t="shared" si="17"/>
        <v>0</v>
      </c>
      <c r="L150" s="5">
        <f t="shared" si="18"/>
        <v>0</v>
      </c>
      <c r="M150" s="5">
        <f t="shared" si="19"/>
        <v>0</v>
      </c>
      <c r="N150" s="5">
        <f t="shared" si="20"/>
        <v>0</v>
      </c>
      <c r="O150" s="5">
        <f t="shared" si="21"/>
        <v>0</v>
      </c>
      <c r="P150" s="5">
        <f t="shared" si="22"/>
        <v>0</v>
      </c>
      <c r="Q150" s="5">
        <f t="shared" si="23"/>
        <v>0</v>
      </c>
      <c r="R150" s="5">
        <f t="shared" si="24"/>
        <v>0</v>
      </c>
      <c r="S150" s="5">
        <f t="shared" si="25"/>
        <v>0</v>
      </c>
      <c r="T150" s="5">
        <f t="shared" si="26"/>
        <v>0</v>
      </c>
      <c r="U150" s="5">
        <f t="shared" si="27"/>
        <v>0</v>
      </c>
      <c r="V150" s="5">
        <f t="shared" si="15"/>
        <v>0</v>
      </c>
    </row>
    <row r="151" spans="1:22" ht="13.5" customHeight="1" x14ac:dyDescent="0.25">
      <c r="A151" s="594"/>
      <c r="B151" s="377"/>
      <c r="C151" s="377"/>
      <c r="D151" s="443">
        <f t="shared" si="14"/>
        <v>100</v>
      </c>
      <c r="E151" s="580"/>
      <c r="F151" s="580"/>
      <c r="J151" s="26">
        <f t="shared" si="16"/>
        <v>0</v>
      </c>
      <c r="K151" s="5">
        <f t="shared" si="17"/>
        <v>0</v>
      </c>
      <c r="L151" s="5">
        <f t="shared" si="18"/>
        <v>0</v>
      </c>
      <c r="M151" s="5">
        <f t="shared" si="19"/>
        <v>0</v>
      </c>
      <c r="N151" s="5">
        <f t="shared" si="20"/>
        <v>0</v>
      </c>
      <c r="O151" s="5">
        <f t="shared" si="21"/>
        <v>0</v>
      </c>
      <c r="P151" s="5">
        <f t="shared" si="22"/>
        <v>0</v>
      </c>
      <c r="Q151" s="5">
        <f t="shared" si="23"/>
        <v>0</v>
      </c>
      <c r="R151" s="5">
        <f t="shared" si="24"/>
        <v>0</v>
      </c>
      <c r="S151" s="5">
        <f t="shared" si="25"/>
        <v>0</v>
      </c>
      <c r="T151" s="5">
        <f t="shared" si="26"/>
        <v>0</v>
      </c>
      <c r="U151" s="5">
        <f t="shared" si="27"/>
        <v>0</v>
      </c>
      <c r="V151" s="5">
        <f t="shared" si="15"/>
        <v>0</v>
      </c>
    </row>
    <row r="152" spans="1:22" ht="13.5" customHeight="1" x14ac:dyDescent="0.25">
      <c r="A152" s="594"/>
      <c r="B152" s="377"/>
      <c r="C152" s="377"/>
      <c r="D152" s="443">
        <f t="shared" si="14"/>
        <v>100</v>
      </c>
      <c r="E152" s="580"/>
      <c r="F152" s="580"/>
      <c r="J152" s="26">
        <f t="shared" si="16"/>
        <v>0</v>
      </c>
      <c r="K152" s="5">
        <f t="shared" si="17"/>
        <v>0</v>
      </c>
      <c r="L152" s="5">
        <f t="shared" si="18"/>
        <v>0</v>
      </c>
      <c r="M152" s="5">
        <f t="shared" si="19"/>
        <v>0</v>
      </c>
      <c r="N152" s="5">
        <f t="shared" si="20"/>
        <v>0</v>
      </c>
      <c r="O152" s="5">
        <f t="shared" si="21"/>
        <v>0</v>
      </c>
      <c r="P152" s="5">
        <f t="shared" si="22"/>
        <v>0</v>
      </c>
      <c r="Q152" s="5">
        <f t="shared" si="23"/>
        <v>0</v>
      </c>
      <c r="R152" s="5">
        <f t="shared" si="24"/>
        <v>0</v>
      </c>
      <c r="S152" s="5">
        <f t="shared" si="25"/>
        <v>0</v>
      </c>
      <c r="T152" s="5">
        <f t="shared" si="26"/>
        <v>0</v>
      </c>
      <c r="U152" s="5">
        <f t="shared" si="27"/>
        <v>0</v>
      </c>
      <c r="V152" s="5">
        <f t="shared" si="15"/>
        <v>0</v>
      </c>
    </row>
    <row r="153" spans="1:22" ht="13.5" customHeight="1" x14ac:dyDescent="0.25">
      <c r="A153" s="594"/>
      <c r="B153" s="377"/>
      <c r="C153" s="377"/>
      <c r="D153" s="443">
        <f t="shared" si="14"/>
        <v>100</v>
      </c>
      <c r="E153" s="580"/>
      <c r="F153" s="580"/>
      <c r="J153" s="26">
        <f t="shared" si="16"/>
        <v>0</v>
      </c>
      <c r="K153" s="5">
        <f t="shared" si="17"/>
        <v>0</v>
      </c>
      <c r="L153" s="5">
        <f t="shared" si="18"/>
        <v>0</v>
      </c>
      <c r="M153" s="5">
        <f t="shared" si="19"/>
        <v>0</v>
      </c>
      <c r="N153" s="5">
        <f t="shared" si="20"/>
        <v>0</v>
      </c>
      <c r="O153" s="5">
        <f t="shared" si="21"/>
        <v>0</v>
      </c>
      <c r="P153" s="5">
        <f t="shared" si="22"/>
        <v>0</v>
      </c>
      <c r="Q153" s="5">
        <f t="shared" si="23"/>
        <v>0</v>
      </c>
      <c r="R153" s="5">
        <f t="shared" si="24"/>
        <v>0</v>
      </c>
      <c r="S153" s="5">
        <f t="shared" si="25"/>
        <v>0</v>
      </c>
      <c r="T153" s="5">
        <f t="shared" si="26"/>
        <v>0</v>
      </c>
      <c r="U153" s="5">
        <f t="shared" si="27"/>
        <v>0</v>
      </c>
      <c r="V153" s="5">
        <f t="shared" si="15"/>
        <v>0</v>
      </c>
    </row>
    <row r="154" spans="1:22" ht="13.5" customHeight="1" x14ac:dyDescent="0.25">
      <c r="A154" s="594"/>
      <c r="B154" s="377"/>
      <c r="C154" s="377"/>
      <c r="D154" s="443">
        <f t="shared" ref="D154:D217" si="28">B154-C154+D153</f>
        <v>100</v>
      </c>
      <c r="E154" s="580"/>
      <c r="F154" s="580"/>
      <c r="J154" s="26">
        <f t="shared" si="16"/>
        <v>0</v>
      </c>
      <c r="K154" s="5">
        <f t="shared" si="17"/>
        <v>0</v>
      </c>
      <c r="L154" s="5">
        <f t="shared" si="18"/>
        <v>0</v>
      </c>
      <c r="M154" s="5">
        <f t="shared" si="19"/>
        <v>0</v>
      </c>
      <c r="N154" s="5">
        <f t="shared" si="20"/>
        <v>0</v>
      </c>
      <c r="O154" s="5">
        <f t="shared" si="21"/>
        <v>0</v>
      </c>
      <c r="P154" s="5">
        <f t="shared" si="22"/>
        <v>0</v>
      </c>
      <c r="Q154" s="5">
        <f t="shared" si="23"/>
        <v>0</v>
      </c>
      <c r="R154" s="5">
        <f t="shared" si="24"/>
        <v>0</v>
      </c>
      <c r="S154" s="5">
        <f t="shared" si="25"/>
        <v>0</v>
      </c>
      <c r="T154" s="5">
        <f t="shared" si="26"/>
        <v>0</v>
      </c>
      <c r="U154" s="5">
        <f t="shared" si="27"/>
        <v>0</v>
      </c>
      <c r="V154" s="5">
        <f t="shared" ref="V154:V217" si="29">IF(E154="Catch Up XP",C154,0)</f>
        <v>0</v>
      </c>
    </row>
    <row r="155" spans="1:22" ht="13.5" customHeight="1" x14ac:dyDescent="0.25">
      <c r="A155" s="594"/>
      <c r="B155" s="377"/>
      <c r="C155" s="377"/>
      <c r="D155" s="443">
        <f t="shared" si="28"/>
        <v>100</v>
      </c>
      <c r="E155" s="580"/>
      <c r="F155" s="580"/>
      <c r="J155" s="26">
        <f t="shared" ref="J155:J218" si="30">IF(E155="Attributes",C155,0)</f>
        <v>0</v>
      </c>
      <c r="K155" s="5">
        <f t="shared" ref="K155:K218" si="31">IF(E155="Skills",C155,0)</f>
        <v>0</v>
      </c>
      <c r="L155" s="5">
        <f t="shared" ref="L155:L218" si="32">IF(E155="Specialization",C155,0)</f>
        <v>0</v>
      </c>
      <c r="M155" s="5">
        <f t="shared" ref="M155:M218" si="33">IF(E155="Blood Potency",C155,0)</f>
        <v>0</v>
      </c>
      <c r="N155" s="5">
        <f t="shared" ref="N155:N218" si="34">IF(E155="Merits",C155,0)</f>
        <v>0</v>
      </c>
      <c r="O155" s="5">
        <f t="shared" ref="O155:O218" si="35">IF(E155="Lost Merits",C155,0)</f>
        <v>0</v>
      </c>
      <c r="P155" s="5">
        <f t="shared" ref="P155:P218" si="36">IF(E155="Disciplines",C155,0)</f>
        <v>0</v>
      </c>
      <c r="Q155" s="5">
        <f t="shared" ref="Q155:Q218" si="37">IF(E155="Rituals",C155,0)</f>
        <v>0</v>
      </c>
      <c r="R155" s="5">
        <f t="shared" ref="R155:R218" si="38">IF(E155="Devotions",C155,0)</f>
        <v>0</v>
      </c>
      <c r="S155" s="5">
        <f t="shared" ref="S155:S218" si="39">IF(E155="Willpower",C155,0)</f>
        <v>0</v>
      </c>
      <c r="T155" s="5">
        <f t="shared" ref="T155:T218" si="40">IF(E155="Humanity",C155,0)</f>
        <v>0</v>
      </c>
      <c r="U155" s="5">
        <f t="shared" ref="U155:U218" si="41">IF(E155="Oaths",C155,0)</f>
        <v>0</v>
      </c>
      <c r="V155" s="5">
        <f t="shared" si="29"/>
        <v>0</v>
      </c>
    </row>
    <row r="156" spans="1:22" ht="13.5" customHeight="1" x14ac:dyDescent="0.25">
      <c r="A156" s="594"/>
      <c r="B156" s="377"/>
      <c r="C156" s="377"/>
      <c r="D156" s="443">
        <f t="shared" si="28"/>
        <v>100</v>
      </c>
      <c r="E156" s="580"/>
      <c r="F156" s="580"/>
      <c r="J156" s="26">
        <f t="shared" si="30"/>
        <v>0</v>
      </c>
      <c r="K156" s="5">
        <f t="shared" si="31"/>
        <v>0</v>
      </c>
      <c r="L156" s="5">
        <f t="shared" si="32"/>
        <v>0</v>
      </c>
      <c r="M156" s="5">
        <f t="shared" si="33"/>
        <v>0</v>
      </c>
      <c r="N156" s="5">
        <f t="shared" si="34"/>
        <v>0</v>
      </c>
      <c r="O156" s="5">
        <f t="shared" si="35"/>
        <v>0</v>
      </c>
      <c r="P156" s="5">
        <f t="shared" si="36"/>
        <v>0</v>
      </c>
      <c r="Q156" s="5">
        <f t="shared" si="37"/>
        <v>0</v>
      </c>
      <c r="R156" s="5">
        <f t="shared" si="38"/>
        <v>0</v>
      </c>
      <c r="S156" s="5">
        <f t="shared" si="39"/>
        <v>0</v>
      </c>
      <c r="T156" s="5">
        <f t="shared" si="40"/>
        <v>0</v>
      </c>
      <c r="U156" s="5">
        <f t="shared" si="41"/>
        <v>0</v>
      </c>
      <c r="V156" s="5">
        <f t="shared" si="29"/>
        <v>0</v>
      </c>
    </row>
    <row r="157" spans="1:22" ht="13.5" customHeight="1" x14ac:dyDescent="0.25">
      <c r="A157" s="594"/>
      <c r="B157" s="377"/>
      <c r="C157" s="377"/>
      <c r="D157" s="443">
        <f t="shared" si="28"/>
        <v>100</v>
      </c>
      <c r="E157" s="580"/>
      <c r="F157" s="580"/>
      <c r="J157" s="26">
        <f t="shared" si="30"/>
        <v>0</v>
      </c>
      <c r="K157" s="5">
        <f t="shared" si="31"/>
        <v>0</v>
      </c>
      <c r="L157" s="5">
        <f t="shared" si="32"/>
        <v>0</v>
      </c>
      <c r="M157" s="5">
        <f t="shared" si="33"/>
        <v>0</v>
      </c>
      <c r="N157" s="5">
        <f t="shared" si="34"/>
        <v>0</v>
      </c>
      <c r="O157" s="5">
        <f t="shared" si="35"/>
        <v>0</v>
      </c>
      <c r="P157" s="5">
        <f t="shared" si="36"/>
        <v>0</v>
      </c>
      <c r="Q157" s="5">
        <f t="shared" si="37"/>
        <v>0</v>
      </c>
      <c r="R157" s="5">
        <f t="shared" si="38"/>
        <v>0</v>
      </c>
      <c r="S157" s="5">
        <f t="shared" si="39"/>
        <v>0</v>
      </c>
      <c r="T157" s="5">
        <f t="shared" si="40"/>
        <v>0</v>
      </c>
      <c r="U157" s="5">
        <f t="shared" si="41"/>
        <v>0</v>
      </c>
      <c r="V157" s="5">
        <f t="shared" si="29"/>
        <v>0</v>
      </c>
    </row>
    <row r="158" spans="1:22" ht="13.5" customHeight="1" x14ac:dyDescent="0.25">
      <c r="A158" s="594"/>
      <c r="B158" s="377"/>
      <c r="C158" s="377"/>
      <c r="D158" s="443">
        <f t="shared" si="28"/>
        <v>100</v>
      </c>
      <c r="E158" s="580"/>
      <c r="F158" s="580"/>
      <c r="J158" s="26">
        <f t="shared" si="30"/>
        <v>0</v>
      </c>
      <c r="K158" s="5">
        <f t="shared" si="31"/>
        <v>0</v>
      </c>
      <c r="L158" s="5">
        <f t="shared" si="32"/>
        <v>0</v>
      </c>
      <c r="M158" s="5">
        <f t="shared" si="33"/>
        <v>0</v>
      </c>
      <c r="N158" s="5">
        <f t="shared" si="34"/>
        <v>0</v>
      </c>
      <c r="O158" s="5">
        <f t="shared" si="35"/>
        <v>0</v>
      </c>
      <c r="P158" s="5">
        <f t="shared" si="36"/>
        <v>0</v>
      </c>
      <c r="Q158" s="5">
        <f t="shared" si="37"/>
        <v>0</v>
      </c>
      <c r="R158" s="5">
        <f t="shared" si="38"/>
        <v>0</v>
      </c>
      <c r="S158" s="5">
        <f t="shared" si="39"/>
        <v>0</v>
      </c>
      <c r="T158" s="5">
        <f t="shared" si="40"/>
        <v>0</v>
      </c>
      <c r="U158" s="5">
        <f t="shared" si="41"/>
        <v>0</v>
      </c>
      <c r="V158" s="5">
        <f t="shared" si="29"/>
        <v>0</v>
      </c>
    </row>
    <row r="159" spans="1:22" ht="13.5" customHeight="1" x14ac:dyDescent="0.25">
      <c r="A159" s="594"/>
      <c r="B159" s="377"/>
      <c r="C159" s="377"/>
      <c r="D159" s="443">
        <f t="shared" si="28"/>
        <v>100</v>
      </c>
      <c r="E159" s="580"/>
      <c r="F159" s="580"/>
      <c r="J159" s="26">
        <f t="shared" si="30"/>
        <v>0</v>
      </c>
      <c r="K159" s="5">
        <f t="shared" si="31"/>
        <v>0</v>
      </c>
      <c r="L159" s="5">
        <f t="shared" si="32"/>
        <v>0</v>
      </c>
      <c r="M159" s="5">
        <f t="shared" si="33"/>
        <v>0</v>
      </c>
      <c r="N159" s="5">
        <f t="shared" si="34"/>
        <v>0</v>
      </c>
      <c r="O159" s="5">
        <f t="shared" si="35"/>
        <v>0</v>
      </c>
      <c r="P159" s="5">
        <f t="shared" si="36"/>
        <v>0</v>
      </c>
      <c r="Q159" s="5">
        <f t="shared" si="37"/>
        <v>0</v>
      </c>
      <c r="R159" s="5">
        <f t="shared" si="38"/>
        <v>0</v>
      </c>
      <c r="S159" s="5">
        <f t="shared" si="39"/>
        <v>0</v>
      </c>
      <c r="T159" s="5">
        <f t="shared" si="40"/>
        <v>0</v>
      </c>
      <c r="U159" s="5">
        <f t="shared" si="41"/>
        <v>0</v>
      </c>
      <c r="V159" s="5">
        <f t="shared" si="29"/>
        <v>0</v>
      </c>
    </row>
    <row r="160" spans="1:22" ht="13.5" customHeight="1" x14ac:dyDescent="0.25">
      <c r="A160" s="594"/>
      <c r="B160" s="377"/>
      <c r="C160" s="377"/>
      <c r="D160" s="443">
        <f t="shared" si="28"/>
        <v>100</v>
      </c>
      <c r="E160" s="580"/>
      <c r="F160" s="580"/>
      <c r="J160" s="26">
        <f t="shared" si="30"/>
        <v>0</v>
      </c>
      <c r="K160" s="5">
        <f t="shared" si="31"/>
        <v>0</v>
      </c>
      <c r="L160" s="5">
        <f t="shared" si="32"/>
        <v>0</v>
      </c>
      <c r="M160" s="5">
        <f t="shared" si="33"/>
        <v>0</v>
      </c>
      <c r="N160" s="5">
        <f t="shared" si="34"/>
        <v>0</v>
      </c>
      <c r="O160" s="5">
        <f t="shared" si="35"/>
        <v>0</v>
      </c>
      <c r="P160" s="5">
        <f t="shared" si="36"/>
        <v>0</v>
      </c>
      <c r="Q160" s="5">
        <f t="shared" si="37"/>
        <v>0</v>
      </c>
      <c r="R160" s="5">
        <f t="shared" si="38"/>
        <v>0</v>
      </c>
      <c r="S160" s="5">
        <f t="shared" si="39"/>
        <v>0</v>
      </c>
      <c r="T160" s="5">
        <f t="shared" si="40"/>
        <v>0</v>
      </c>
      <c r="U160" s="5">
        <f t="shared" si="41"/>
        <v>0</v>
      </c>
      <c r="V160" s="5">
        <f t="shared" si="29"/>
        <v>0</v>
      </c>
    </row>
    <row r="161" spans="1:22" ht="13.5" customHeight="1" x14ac:dyDescent="0.25">
      <c r="A161" s="594"/>
      <c r="B161" s="377"/>
      <c r="C161" s="377"/>
      <c r="D161" s="443">
        <f t="shared" si="28"/>
        <v>100</v>
      </c>
      <c r="E161" s="580"/>
      <c r="F161" s="580"/>
      <c r="J161" s="26">
        <f t="shared" si="30"/>
        <v>0</v>
      </c>
      <c r="K161" s="5">
        <f t="shared" si="31"/>
        <v>0</v>
      </c>
      <c r="L161" s="5">
        <f t="shared" si="32"/>
        <v>0</v>
      </c>
      <c r="M161" s="5">
        <f t="shared" si="33"/>
        <v>0</v>
      </c>
      <c r="N161" s="5">
        <f t="shared" si="34"/>
        <v>0</v>
      </c>
      <c r="O161" s="5">
        <f t="shared" si="35"/>
        <v>0</v>
      </c>
      <c r="P161" s="5">
        <f t="shared" si="36"/>
        <v>0</v>
      </c>
      <c r="Q161" s="5">
        <f t="shared" si="37"/>
        <v>0</v>
      </c>
      <c r="R161" s="5">
        <f t="shared" si="38"/>
        <v>0</v>
      </c>
      <c r="S161" s="5">
        <f t="shared" si="39"/>
        <v>0</v>
      </c>
      <c r="T161" s="5">
        <f t="shared" si="40"/>
        <v>0</v>
      </c>
      <c r="U161" s="5">
        <f t="shared" si="41"/>
        <v>0</v>
      </c>
      <c r="V161" s="5">
        <f t="shared" si="29"/>
        <v>0</v>
      </c>
    </row>
    <row r="162" spans="1:22" ht="13.5" customHeight="1" x14ac:dyDescent="0.25">
      <c r="A162" s="594"/>
      <c r="B162" s="377"/>
      <c r="C162" s="377"/>
      <c r="D162" s="443">
        <f t="shared" si="28"/>
        <v>100</v>
      </c>
      <c r="E162" s="580"/>
      <c r="F162" s="580"/>
      <c r="J162" s="26">
        <f t="shared" si="30"/>
        <v>0</v>
      </c>
      <c r="K162" s="5">
        <f t="shared" si="31"/>
        <v>0</v>
      </c>
      <c r="L162" s="5">
        <f t="shared" si="32"/>
        <v>0</v>
      </c>
      <c r="M162" s="5">
        <f t="shared" si="33"/>
        <v>0</v>
      </c>
      <c r="N162" s="5">
        <f t="shared" si="34"/>
        <v>0</v>
      </c>
      <c r="O162" s="5">
        <f t="shared" si="35"/>
        <v>0</v>
      </c>
      <c r="P162" s="5">
        <f t="shared" si="36"/>
        <v>0</v>
      </c>
      <c r="Q162" s="5">
        <f t="shared" si="37"/>
        <v>0</v>
      </c>
      <c r="R162" s="5">
        <f t="shared" si="38"/>
        <v>0</v>
      </c>
      <c r="S162" s="5">
        <f t="shared" si="39"/>
        <v>0</v>
      </c>
      <c r="T162" s="5">
        <f t="shared" si="40"/>
        <v>0</v>
      </c>
      <c r="U162" s="5">
        <f t="shared" si="41"/>
        <v>0</v>
      </c>
      <c r="V162" s="5">
        <f t="shared" si="29"/>
        <v>0</v>
      </c>
    </row>
    <row r="163" spans="1:22" ht="13.5" customHeight="1" x14ac:dyDescent="0.25">
      <c r="A163" s="594"/>
      <c r="B163" s="377"/>
      <c r="C163" s="377"/>
      <c r="D163" s="443">
        <f t="shared" si="28"/>
        <v>100</v>
      </c>
      <c r="E163" s="580"/>
      <c r="F163" s="580"/>
      <c r="J163" s="26">
        <f t="shared" si="30"/>
        <v>0</v>
      </c>
      <c r="K163" s="5">
        <f t="shared" si="31"/>
        <v>0</v>
      </c>
      <c r="L163" s="5">
        <f t="shared" si="32"/>
        <v>0</v>
      </c>
      <c r="M163" s="5">
        <f t="shared" si="33"/>
        <v>0</v>
      </c>
      <c r="N163" s="5">
        <f t="shared" si="34"/>
        <v>0</v>
      </c>
      <c r="O163" s="5">
        <f t="shared" si="35"/>
        <v>0</v>
      </c>
      <c r="P163" s="5">
        <f t="shared" si="36"/>
        <v>0</v>
      </c>
      <c r="Q163" s="5">
        <f t="shared" si="37"/>
        <v>0</v>
      </c>
      <c r="R163" s="5">
        <f t="shared" si="38"/>
        <v>0</v>
      </c>
      <c r="S163" s="5">
        <f t="shared" si="39"/>
        <v>0</v>
      </c>
      <c r="T163" s="5">
        <f t="shared" si="40"/>
        <v>0</v>
      </c>
      <c r="U163" s="5">
        <f t="shared" si="41"/>
        <v>0</v>
      </c>
      <c r="V163" s="5">
        <f t="shared" si="29"/>
        <v>0</v>
      </c>
    </row>
    <row r="164" spans="1:22" ht="13.5" customHeight="1" x14ac:dyDescent="0.25">
      <c r="A164" s="594"/>
      <c r="B164" s="377"/>
      <c r="C164" s="377"/>
      <c r="D164" s="443">
        <f t="shared" si="28"/>
        <v>100</v>
      </c>
      <c r="E164" s="580"/>
      <c r="F164" s="580"/>
      <c r="J164" s="26">
        <f t="shared" si="30"/>
        <v>0</v>
      </c>
      <c r="K164" s="5">
        <f t="shared" si="31"/>
        <v>0</v>
      </c>
      <c r="L164" s="5">
        <f t="shared" si="32"/>
        <v>0</v>
      </c>
      <c r="M164" s="5">
        <f t="shared" si="33"/>
        <v>0</v>
      </c>
      <c r="N164" s="5">
        <f t="shared" si="34"/>
        <v>0</v>
      </c>
      <c r="O164" s="5">
        <f t="shared" si="35"/>
        <v>0</v>
      </c>
      <c r="P164" s="5">
        <f t="shared" si="36"/>
        <v>0</v>
      </c>
      <c r="Q164" s="5">
        <f t="shared" si="37"/>
        <v>0</v>
      </c>
      <c r="R164" s="5">
        <f t="shared" si="38"/>
        <v>0</v>
      </c>
      <c r="S164" s="5">
        <f t="shared" si="39"/>
        <v>0</v>
      </c>
      <c r="T164" s="5">
        <f t="shared" si="40"/>
        <v>0</v>
      </c>
      <c r="U164" s="5">
        <f t="shared" si="41"/>
        <v>0</v>
      </c>
      <c r="V164" s="5">
        <f t="shared" si="29"/>
        <v>0</v>
      </c>
    </row>
    <row r="165" spans="1:22" ht="13.5" customHeight="1" x14ac:dyDescent="0.25">
      <c r="A165" s="594"/>
      <c r="B165" s="377"/>
      <c r="C165" s="377"/>
      <c r="D165" s="443">
        <f t="shared" si="28"/>
        <v>100</v>
      </c>
      <c r="E165" s="580"/>
      <c r="F165" s="580"/>
      <c r="J165" s="26">
        <f t="shared" si="30"/>
        <v>0</v>
      </c>
      <c r="K165" s="5">
        <f t="shared" si="31"/>
        <v>0</v>
      </c>
      <c r="L165" s="5">
        <f t="shared" si="32"/>
        <v>0</v>
      </c>
      <c r="M165" s="5">
        <f t="shared" si="33"/>
        <v>0</v>
      </c>
      <c r="N165" s="5">
        <f t="shared" si="34"/>
        <v>0</v>
      </c>
      <c r="O165" s="5">
        <f t="shared" si="35"/>
        <v>0</v>
      </c>
      <c r="P165" s="5">
        <f t="shared" si="36"/>
        <v>0</v>
      </c>
      <c r="Q165" s="5">
        <f t="shared" si="37"/>
        <v>0</v>
      </c>
      <c r="R165" s="5">
        <f t="shared" si="38"/>
        <v>0</v>
      </c>
      <c r="S165" s="5">
        <f t="shared" si="39"/>
        <v>0</v>
      </c>
      <c r="T165" s="5">
        <f t="shared" si="40"/>
        <v>0</v>
      </c>
      <c r="U165" s="5">
        <f t="shared" si="41"/>
        <v>0</v>
      </c>
      <c r="V165" s="5">
        <f t="shared" si="29"/>
        <v>0</v>
      </c>
    </row>
    <row r="166" spans="1:22" ht="13.5" customHeight="1" x14ac:dyDescent="0.25">
      <c r="A166" s="594"/>
      <c r="B166" s="377"/>
      <c r="C166" s="377"/>
      <c r="D166" s="443">
        <f t="shared" si="28"/>
        <v>100</v>
      </c>
      <c r="E166" s="580"/>
      <c r="F166" s="580"/>
      <c r="J166" s="26">
        <f t="shared" si="30"/>
        <v>0</v>
      </c>
      <c r="K166" s="5">
        <f t="shared" si="31"/>
        <v>0</v>
      </c>
      <c r="L166" s="5">
        <f t="shared" si="32"/>
        <v>0</v>
      </c>
      <c r="M166" s="5">
        <f t="shared" si="33"/>
        <v>0</v>
      </c>
      <c r="N166" s="5">
        <f t="shared" si="34"/>
        <v>0</v>
      </c>
      <c r="O166" s="5">
        <f t="shared" si="35"/>
        <v>0</v>
      </c>
      <c r="P166" s="5">
        <f t="shared" si="36"/>
        <v>0</v>
      </c>
      <c r="Q166" s="5">
        <f t="shared" si="37"/>
        <v>0</v>
      </c>
      <c r="R166" s="5">
        <f t="shared" si="38"/>
        <v>0</v>
      </c>
      <c r="S166" s="5">
        <f t="shared" si="39"/>
        <v>0</v>
      </c>
      <c r="T166" s="5">
        <f t="shared" si="40"/>
        <v>0</v>
      </c>
      <c r="U166" s="5">
        <f t="shared" si="41"/>
        <v>0</v>
      </c>
      <c r="V166" s="5">
        <f t="shared" si="29"/>
        <v>0</v>
      </c>
    </row>
    <row r="167" spans="1:22" ht="13.5" customHeight="1" x14ac:dyDescent="0.25">
      <c r="A167" s="594"/>
      <c r="B167" s="377"/>
      <c r="C167" s="377"/>
      <c r="D167" s="443">
        <f t="shared" si="28"/>
        <v>100</v>
      </c>
      <c r="E167" s="580"/>
      <c r="F167" s="580"/>
      <c r="J167" s="26">
        <f t="shared" si="30"/>
        <v>0</v>
      </c>
      <c r="K167" s="5">
        <f t="shared" si="31"/>
        <v>0</v>
      </c>
      <c r="L167" s="5">
        <f t="shared" si="32"/>
        <v>0</v>
      </c>
      <c r="M167" s="5">
        <f t="shared" si="33"/>
        <v>0</v>
      </c>
      <c r="N167" s="5">
        <f t="shared" si="34"/>
        <v>0</v>
      </c>
      <c r="O167" s="5">
        <f t="shared" si="35"/>
        <v>0</v>
      </c>
      <c r="P167" s="5">
        <f t="shared" si="36"/>
        <v>0</v>
      </c>
      <c r="Q167" s="5">
        <f t="shared" si="37"/>
        <v>0</v>
      </c>
      <c r="R167" s="5">
        <f t="shared" si="38"/>
        <v>0</v>
      </c>
      <c r="S167" s="5">
        <f t="shared" si="39"/>
        <v>0</v>
      </c>
      <c r="T167" s="5">
        <f t="shared" si="40"/>
        <v>0</v>
      </c>
      <c r="U167" s="5">
        <f t="shared" si="41"/>
        <v>0</v>
      </c>
      <c r="V167" s="5">
        <f t="shared" si="29"/>
        <v>0</v>
      </c>
    </row>
    <row r="168" spans="1:22" ht="13.5" customHeight="1" x14ac:dyDescent="0.25">
      <c r="A168" s="594"/>
      <c r="B168" s="377"/>
      <c r="C168" s="377"/>
      <c r="D168" s="443">
        <f t="shared" si="28"/>
        <v>100</v>
      </c>
      <c r="E168" s="580"/>
      <c r="F168" s="580"/>
      <c r="J168" s="26">
        <f t="shared" si="30"/>
        <v>0</v>
      </c>
      <c r="K168" s="5">
        <f t="shared" si="31"/>
        <v>0</v>
      </c>
      <c r="L168" s="5">
        <f t="shared" si="32"/>
        <v>0</v>
      </c>
      <c r="M168" s="5">
        <f t="shared" si="33"/>
        <v>0</v>
      </c>
      <c r="N168" s="5">
        <f t="shared" si="34"/>
        <v>0</v>
      </c>
      <c r="O168" s="5">
        <f t="shared" si="35"/>
        <v>0</v>
      </c>
      <c r="P168" s="5">
        <f t="shared" si="36"/>
        <v>0</v>
      </c>
      <c r="Q168" s="5">
        <f t="shared" si="37"/>
        <v>0</v>
      </c>
      <c r="R168" s="5">
        <f t="shared" si="38"/>
        <v>0</v>
      </c>
      <c r="S168" s="5">
        <f t="shared" si="39"/>
        <v>0</v>
      </c>
      <c r="T168" s="5">
        <f t="shared" si="40"/>
        <v>0</v>
      </c>
      <c r="U168" s="5">
        <f t="shared" si="41"/>
        <v>0</v>
      </c>
      <c r="V168" s="5">
        <f t="shared" si="29"/>
        <v>0</v>
      </c>
    </row>
    <row r="169" spans="1:22" ht="13.5" customHeight="1" x14ac:dyDescent="0.25">
      <c r="A169" s="594"/>
      <c r="B169" s="377"/>
      <c r="C169" s="377"/>
      <c r="D169" s="443">
        <f t="shared" si="28"/>
        <v>100</v>
      </c>
      <c r="E169" s="580"/>
      <c r="F169" s="580"/>
      <c r="J169" s="26">
        <f t="shared" si="30"/>
        <v>0</v>
      </c>
      <c r="K169" s="5">
        <f t="shared" si="31"/>
        <v>0</v>
      </c>
      <c r="L169" s="5">
        <f t="shared" si="32"/>
        <v>0</v>
      </c>
      <c r="M169" s="5">
        <f t="shared" si="33"/>
        <v>0</v>
      </c>
      <c r="N169" s="5">
        <f t="shared" si="34"/>
        <v>0</v>
      </c>
      <c r="O169" s="5">
        <f t="shared" si="35"/>
        <v>0</v>
      </c>
      <c r="P169" s="5">
        <f t="shared" si="36"/>
        <v>0</v>
      </c>
      <c r="Q169" s="5">
        <f t="shared" si="37"/>
        <v>0</v>
      </c>
      <c r="R169" s="5">
        <f t="shared" si="38"/>
        <v>0</v>
      </c>
      <c r="S169" s="5">
        <f t="shared" si="39"/>
        <v>0</v>
      </c>
      <c r="T169" s="5">
        <f t="shared" si="40"/>
        <v>0</v>
      </c>
      <c r="U169" s="5">
        <f t="shared" si="41"/>
        <v>0</v>
      </c>
      <c r="V169" s="5">
        <f t="shared" si="29"/>
        <v>0</v>
      </c>
    </row>
    <row r="170" spans="1:22" ht="13.5" customHeight="1" x14ac:dyDescent="0.25">
      <c r="A170" s="594"/>
      <c r="B170" s="377"/>
      <c r="C170" s="377"/>
      <c r="D170" s="443">
        <f t="shared" si="28"/>
        <v>100</v>
      </c>
      <c r="E170" s="580"/>
      <c r="F170" s="580"/>
      <c r="J170" s="26">
        <f t="shared" si="30"/>
        <v>0</v>
      </c>
      <c r="K170" s="5">
        <f t="shared" si="31"/>
        <v>0</v>
      </c>
      <c r="L170" s="5">
        <f t="shared" si="32"/>
        <v>0</v>
      </c>
      <c r="M170" s="5">
        <f t="shared" si="33"/>
        <v>0</v>
      </c>
      <c r="N170" s="5">
        <f t="shared" si="34"/>
        <v>0</v>
      </c>
      <c r="O170" s="5">
        <f t="shared" si="35"/>
        <v>0</v>
      </c>
      <c r="P170" s="5">
        <f t="shared" si="36"/>
        <v>0</v>
      </c>
      <c r="Q170" s="5">
        <f t="shared" si="37"/>
        <v>0</v>
      </c>
      <c r="R170" s="5">
        <f t="shared" si="38"/>
        <v>0</v>
      </c>
      <c r="S170" s="5">
        <f t="shared" si="39"/>
        <v>0</v>
      </c>
      <c r="T170" s="5">
        <f t="shared" si="40"/>
        <v>0</v>
      </c>
      <c r="U170" s="5">
        <f t="shared" si="41"/>
        <v>0</v>
      </c>
      <c r="V170" s="5">
        <f t="shared" si="29"/>
        <v>0</v>
      </c>
    </row>
    <row r="171" spans="1:22" ht="13.5" customHeight="1" x14ac:dyDescent="0.25">
      <c r="A171" s="594"/>
      <c r="B171" s="377"/>
      <c r="C171" s="377"/>
      <c r="D171" s="443">
        <f t="shared" si="28"/>
        <v>100</v>
      </c>
      <c r="E171" s="580"/>
      <c r="F171" s="580"/>
      <c r="J171" s="26">
        <f t="shared" si="30"/>
        <v>0</v>
      </c>
      <c r="K171" s="5">
        <f t="shared" si="31"/>
        <v>0</v>
      </c>
      <c r="L171" s="5">
        <f t="shared" si="32"/>
        <v>0</v>
      </c>
      <c r="M171" s="5">
        <f t="shared" si="33"/>
        <v>0</v>
      </c>
      <c r="N171" s="5">
        <f t="shared" si="34"/>
        <v>0</v>
      </c>
      <c r="O171" s="5">
        <f t="shared" si="35"/>
        <v>0</v>
      </c>
      <c r="P171" s="5">
        <f t="shared" si="36"/>
        <v>0</v>
      </c>
      <c r="Q171" s="5">
        <f t="shared" si="37"/>
        <v>0</v>
      </c>
      <c r="R171" s="5">
        <f t="shared" si="38"/>
        <v>0</v>
      </c>
      <c r="S171" s="5">
        <f t="shared" si="39"/>
        <v>0</v>
      </c>
      <c r="T171" s="5">
        <f t="shared" si="40"/>
        <v>0</v>
      </c>
      <c r="U171" s="5">
        <f t="shared" si="41"/>
        <v>0</v>
      </c>
      <c r="V171" s="5">
        <f t="shared" si="29"/>
        <v>0</v>
      </c>
    </row>
    <row r="172" spans="1:22" ht="13.5" customHeight="1" x14ac:dyDescent="0.25">
      <c r="A172" s="594"/>
      <c r="B172" s="377"/>
      <c r="C172" s="377"/>
      <c r="D172" s="443">
        <f t="shared" si="28"/>
        <v>100</v>
      </c>
      <c r="E172" s="580"/>
      <c r="F172" s="580"/>
      <c r="J172" s="26">
        <f t="shared" si="30"/>
        <v>0</v>
      </c>
      <c r="K172" s="5">
        <f t="shared" si="31"/>
        <v>0</v>
      </c>
      <c r="L172" s="5">
        <f t="shared" si="32"/>
        <v>0</v>
      </c>
      <c r="M172" s="5">
        <f t="shared" si="33"/>
        <v>0</v>
      </c>
      <c r="N172" s="5">
        <f t="shared" si="34"/>
        <v>0</v>
      </c>
      <c r="O172" s="5">
        <f t="shared" si="35"/>
        <v>0</v>
      </c>
      <c r="P172" s="5">
        <f t="shared" si="36"/>
        <v>0</v>
      </c>
      <c r="Q172" s="5">
        <f t="shared" si="37"/>
        <v>0</v>
      </c>
      <c r="R172" s="5">
        <f t="shared" si="38"/>
        <v>0</v>
      </c>
      <c r="S172" s="5">
        <f t="shared" si="39"/>
        <v>0</v>
      </c>
      <c r="T172" s="5">
        <f t="shared" si="40"/>
        <v>0</v>
      </c>
      <c r="U172" s="5">
        <f t="shared" si="41"/>
        <v>0</v>
      </c>
      <c r="V172" s="5">
        <f t="shared" si="29"/>
        <v>0</v>
      </c>
    </row>
    <row r="173" spans="1:22" ht="13.5" customHeight="1" x14ac:dyDescent="0.25">
      <c r="A173" s="594"/>
      <c r="B173" s="377"/>
      <c r="C173" s="377"/>
      <c r="D173" s="443">
        <f t="shared" si="28"/>
        <v>100</v>
      </c>
      <c r="E173" s="580"/>
      <c r="F173" s="580"/>
      <c r="J173" s="26">
        <f t="shared" si="30"/>
        <v>0</v>
      </c>
      <c r="K173" s="5">
        <f t="shared" si="31"/>
        <v>0</v>
      </c>
      <c r="L173" s="5">
        <f t="shared" si="32"/>
        <v>0</v>
      </c>
      <c r="M173" s="5">
        <f t="shared" si="33"/>
        <v>0</v>
      </c>
      <c r="N173" s="5">
        <f t="shared" si="34"/>
        <v>0</v>
      </c>
      <c r="O173" s="5">
        <f t="shared" si="35"/>
        <v>0</v>
      </c>
      <c r="P173" s="5">
        <f t="shared" si="36"/>
        <v>0</v>
      </c>
      <c r="Q173" s="5">
        <f t="shared" si="37"/>
        <v>0</v>
      </c>
      <c r="R173" s="5">
        <f t="shared" si="38"/>
        <v>0</v>
      </c>
      <c r="S173" s="5">
        <f t="shared" si="39"/>
        <v>0</v>
      </c>
      <c r="T173" s="5">
        <f t="shared" si="40"/>
        <v>0</v>
      </c>
      <c r="U173" s="5">
        <f t="shared" si="41"/>
        <v>0</v>
      </c>
      <c r="V173" s="5">
        <f t="shared" si="29"/>
        <v>0</v>
      </c>
    </row>
    <row r="174" spans="1:22" ht="13.5" customHeight="1" x14ac:dyDescent="0.25">
      <c r="A174" s="594"/>
      <c r="B174" s="377"/>
      <c r="C174" s="377"/>
      <c r="D174" s="443">
        <f t="shared" si="28"/>
        <v>100</v>
      </c>
      <c r="E174" s="580"/>
      <c r="F174" s="580"/>
      <c r="J174" s="26">
        <f t="shared" si="30"/>
        <v>0</v>
      </c>
      <c r="K174" s="5">
        <f t="shared" si="31"/>
        <v>0</v>
      </c>
      <c r="L174" s="5">
        <f t="shared" si="32"/>
        <v>0</v>
      </c>
      <c r="M174" s="5">
        <f t="shared" si="33"/>
        <v>0</v>
      </c>
      <c r="N174" s="5">
        <f t="shared" si="34"/>
        <v>0</v>
      </c>
      <c r="O174" s="5">
        <f t="shared" si="35"/>
        <v>0</v>
      </c>
      <c r="P174" s="5">
        <f t="shared" si="36"/>
        <v>0</v>
      </c>
      <c r="Q174" s="5">
        <f t="shared" si="37"/>
        <v>0</v>
      </c>
      <c r="R174" s="5">
        <f t="shared" si="38"/>
        <v>0</v>
      </c>
      <c r="S174" s="5">
        <f t="shared" si="39"/>
        <v>0</v>
      </c>
      <c r="T174" s="5">
        <f t="shared" si="40"/>
        <v>0</v>
      </c>
      <c r="U174" s="5">
        <f t="shared" si="41"/>
        <v>0</v>
      </c>
      <c r="V174" s="5">
        <f t="shared" si="29"/>
        <v>0</v>
      </c>
    </row>
    <row r="175" spans="1:22" ht="13.5" customHeight="1" x14ac:dyDescent="0.25">
      <c r="A175" s="594"/>
      <c r="B175" s="377"/>
      <c r="C175" s="377"/>
      <c r="D175" s="443">
        <f t="shared" si="28"/>
        <v>100</v>
      </c>
      <c r="E175" s="580"/>
      <c r="F175" s="580"/>
      <c r="J175" s="26">
        <f t="shared" si="30"/>
        <v>0</v>
      </c>
      <c r="K175" s="5">
        <f t="shared" si="31"/>
        <v>0</v>
      </c>
      <c r="L175" s="5">
        <f t="shared" si="32"/>
        <v>0</v>
      </c>
      <c r="M175" s="5">
        <f t="shared" si="33"/>
        <v>0</v>
      </c>
      <c r="N175" s="5">
        <f t="shared" si="34"/>
        <v>0</v>
      </c>
      <c r="O175" s="5">
        <f t="shared" si="35"/>
        <v>0</v>
      </c>
      <c r="P175" s="5">
        <f t="shared" si="36"/>
        <v>0</v>
      </c>
      <c r="Q175" s="5">
        <f t="shared" si="37"/>
        <v>0</v>
      </c>
      <c r="R175" s="5">
        <f t="shared" si="38"/>
        <v>0</v>
      </c>
      <c r="S175" s="5">
        <f t="shared" si="39"/>
        <v>0</v>
      </c>
      <c r="T175" s="5">
        <f t="shared" si="40"/>
        <v>0</v>
      </c>
      <c r="U175" s="5">
        <f t="shared" si="41"/>
        <v>0</v>
      </c>
      <c r="V175" s="5">
        <f t="shared" si="29"/>
        <v>0</v>
      </c>
    </row>
    <row r="176" spans="1:22" ht="13.5" customHeight="1" x14ac:dyDescent="0.25">
      <c r="A176" s="594"/>
      <c r="B176" s="377"/>
      <c r="C176" s="377"/>
      <c r="D176" s="443">
        <f t="shared" si="28"/>
        <v>100</v>
      </c>
      <c r="E176" s="580"/>
      <c r="F176" s="580"/>
      <c r="J176" s="26">
        <f t="shared" si="30"/>
        <v>0</v>
      </c>
      <c r="K176" s="5">
        <f t="shared" si="31"/>
        <v>0</v>
      </c>
      <c r="L176" s="5">
        <f t="shared" si="32"/>
        <v>0</v>
      </c>
      <c r="M176" s="5">
        <f t="shared" si="33"/>
        <v>0</v>
      </c>
      <c r="N176" s="5">
        <f t="shared" si="34"/>
        <v>0</v>
      </c>
      <c r="O176" s="5">
        <f t="shared" si="35"/>
        <v>0</v>
      </c>
      <c r="P176" s="5">
        <f t="shared" si="36"/>
        <v>0</v>
      </c>
      <c r="Q176" s="5">
        <f t="shared" si="37"/>
        <v>0</v>
      </c>
      <c r="R176" s="5">
        <f t="shared" si="38"/>
        <v>0</v>
      </c>
      <c r="S176" s="5">
        <f t="shared" si="39"/>
        <v>0</v>
      </c>
      <c r="T176" s="5">
        <f t="shared" si="40"/>
        <v>0</v>
      </c>
      <c r="U176" s="5">
        <f t="shared" si="41"/>
        <v>0</v>
      </c>
      <c r="V176" s="5">
        <f t="shared" si="29"/>
        <v>0</v>
      </c>
    </row>
    <row r="177" spans="1:22" ht="13.5" customHeight="1" x14ac:dyDescent="0.25">
      <c r="A177" s="594"/>
      <c r="B177" s="377"/>
      <c r="C177" s="377"/>
      <c r="D177" s="443">
        <f t="shared" si="28"/>
        <v>100</v>
      </c>
      <c r="E177" s="580"/>
      <c r="F177" s="580"/>
      <c r="J177" s="26">
        <f t="shared" si="30"/>
        <v>0</v>
      </c>
      <c r="K177" s="5">
        <f t="shared" si="31"/>
        <v>0</v>
      </c>
      <c r="L177" s="5">
        <f t="shared" si="32"/>
        <v>0</v>
      </c>
      <c r="M177" s="5">
        <f t="shared" si="33"/>
        <v>0</v>
      </c>
      <c r="N177" s="5">
        <f t="shared" si="34"/>
        <v>0</v>
      </c>
      <c r="O177" s="5">
        <f t="shared" si="35"/>
        <v>0</v>
      </c>
      <c r="P177" s="5">
        <f t="shared" si="36"/>
        <v>0</v>
      </c>
      <c r="Q177" s="5">
        <f t="shared" si="37"/>
        <v>0</v>
      </c>
      <c r="R177" s="5">
        <f t="shared" si="38"/>
        <v>0</v>
      </c>
      <c r="S177" s="5">
        <f t="shared" si="39"/>
        <v>0</v>
      </c>
      <c r="T177" s="5">
        <f t="shared" si="40"/>
        <v>0</v>
      </c>
      <c r="U177" s="5">
        <f t="shared" si="41"/>
        <v>0</v>
      </c>
      <c r="V177" s="5">
        <f t="shared" si="29"/>
        <v>0</v>
      </c>
    </row>
    <row r="178" spans="1:22" ht="13.5" customHeight="1" x14ac:dyDescent="0.25">
      <c r="A178" s="594"/>
      <c r="B178" s="377"/>
      <c r="C178" s="377"/>
      <c r="D178" s="443">
        <f t="shared" si="28"/>
        <v>100</v>
      </c>
      <c r="E178" s="580"/>
      <c r="F178" s="580"/>
      <c r="J178" s="26">
        <f t="shared" si="30"/>
        <v>0</v>
      </c>
      <c r="K178" s="5">
        <f t="shared" si="31"/>
        <v>0</v>
      </c>
      <c r="L178" s="5">
        <f t="shared" si="32"/>
        <v>0</v>
      </c>
      <c r="M178" s="5">
        <f t="shared" si="33"/>
        <v>0</v>
      </c>
      <c r="N178" s="5">
        <f t="shared" si="34"/>
        <v>0</v>
      </c>
      <c r="O178" s="5">
        <f t="shared" si="35"/>
        <v>0</v>
      </c>
      <c r="P178" s="5">
        <f t="shared" si="36"/>
        <v>0</v>
      </c>
      <c r="Q178" s="5">
        <f t="shared" si="37"/>
        <v>0</v>
      </c>
      <c r="R178" s="5">
        <f t="shared" si="38"/>
        <v>0</v>
      </c>
      <c r="S178" s="5">
        <f t="shared" si="39"/>
        <v>0</v>
      </c>
      <c r="T178" s="5">
        <f t="shared" si="40"/>
        <v>0</v>
      </c>
      <c r="U178" s="5">
        <f t="shared" si="41"/>
        <v>0</v>
      </c>
      <c r="V178" s="5">
        <f t="shared" si="29"/>
        <v>0</v>
      </c>
    </row>
    <row r="179" spans="1:22" ht="13.5" customHeight="1" x14ac:dyDescent="0.25">
      <c r="A179" s="594"/>
      <c r="B179" s="377"/>
      <c r="C179" s="377"/>
      <c r="D179" s="443">
        <f t="shared" si="28"/>
        <v>100</v>
      </c>
      <c r="E179" s="580"/>
      <c r="F179" s="580"/>
      <c r="J179" s="26">
        <f t="shared" si="30"/>
        <v>0</v>
      </c>
      <c r="K179" s="5">
        <f t="shared" si="31"/>
        <v>0</v>
      </c>
      <c r="L179" s="5">
        <f t="shared" si="32"/>
        <v>0</v>
      </c>
      <c r="M179" s="5">
        <f t="shared" si="33"/>
        <v>0</v>
      </c>
      <c r="N179" s="5">
        <f t="shared" si="34"/>
        <v>0</v>
      </c>
      <c r="O179" s="5">
        <f t="shared" si="35"/>
        <v>0</v>
      </c>
      <c r="P179" s="5">
        <f t="shared" si="36"/>
        <v>0</v>
      </c>
      <c r="Q179" s="5">
        <f t="shared" si="37"/>
        <v>0</v>
      </c>
      <c r="R179" s="5">
        <f t="shared" si="38"/>
        <v>0</v>
      </c>
      <c r="S179" s="5">
        <f t="shared" si="39"/>
        <v>0</v>
      </c>
      <c r="T179" s="5">
        <f t="shared" si="40"/>
        <v>0</v>
      </c>
      <c r="U179" s="5">
        <f t="shared" si="41"/>
        <v>0</v>
      </c>
      <c r="V179" s="5">
        <f t="shared" si="29"/>
        <v>0</v>
      </c>
    </row>
    <row r="180" spans="1:22" ht="13.5" customHeight="1" x14ac:dyDescent="0.25">
      <c r="A180" s="594"/>
      <c r="B180" s="377"/>
      <c r="C180" s="377"/>
      <c r="D180" s="443">
        <f t="shared" si="28"/>
        <v>100</v>
      </c>
      <c r="E180" s="580"/>
      <c r="F180" s="580"/>
      <c r="J180" s="26">
        <f t="shared" si="30"/>
        <v>0</v>
      </c>
      <c r="K180" s="5">
        <f t="shared" si="31"/>
        <v>0</v>
      </c>
      <c r="L180" s="5">
        <f t="shared" si="32"/>
        <v>0</v>
      </c>
      <c r="M180" s="5">
        <f t="shared" si="33"/>
        <v>0</v>
      </c>
      <c r="N180" s="5">
        <f t="shared" si="34"/>
        <v>0</v>
      </c>
      <c r="O180" s="5">
        <f t="shared" si="35"/>
        <v>0</v>
      </c>
      <c r="P180" s="5">
        <f t="shared" si="36"/>
        <v>0</v>
      </c>
      <c r="Q180" s="5">
        <f t="shared" si="37"/>
        <v>0</v>
      </c>
      <c r="R180" s="5">
        <f t="shared" si="38"/>
        <v>0</v>
      </c>
      <c r="S180" s="5">
        <f t="shared" si="39"/>
        <v>0</v>
      </c>
      <c r="T180" s="5">
        <f t="shared" si="40"/>
        <v>0</v>
      </c>
      <c r="U180" s="5">
        <f t="shared" si="41"/>
        <v>0</v>
      </c>
      <c r="V180" s="5">
        <f t="shared" si="29"/>
        <v>0</v>
      </c>
    </row>
    <row r="181" spans="1:22" ht="13.5" customHeight="1" x14ac:dyDescent="0.25">
      <c r="A181" s="594"/>
      <c r="B181" s="377"/>
      <c r="C181" s="377"/>
      <c r="D181" s="443">
        <f t="shared" si="28"/>
        <v>100</v>
      </c>
      <c r="E181" s="580"/>
      <c r="F181" s="580"/>
      <c r="J181" s="26">
        <f t="shared" si="30"/>
        <v>0</v>
      </c>
      <c r="K181" s="5">
        <f t="shared" si="31"/>
        <v>0</v>
      </c>
      <c r="L181" s="5">
        <f t="shared" si="32"/>
        <v>0</v>
      </c>
      <c r="M181" s="5">
        <f t="shared" si="33"/>
        <v>0</v>
      </c>
      <c r="N181" s="5">
        <f t="shared" si="34"/>
        <v>0</v>
      </c>
      <c r="O181" s="5">
        <f t="shared" si="35"/>
        <v>0</v>
      </c>
      <c r="P181" s="5">
        <f t="shared" si="36"/>
        <v>0</v>
      </c>
      <c r="Q181" s="5">
        <f t="shared" si="37"/>
        <v>0</v>
      </c>
      <c r="R181" s="5">
        <f t="shared" si="38"/>
        <v>0</v>
      </c>
      <c r="S181" s="5">
        <f t="shared" si="39"/>
        <v>0</v>
      </c>
      <c r="T181" s="5">
        <f t="shared" si="40"/>
        <v>0</v>
      </c>
      <c r="U181" s="5">
        <f t="shared" si="41"/>
        <v>0</v>
      </c>
      <c r="V181" s="5">
        <f t="shared" si="29"/>
        <v>0</v>
      </c>
    </row>
    <row r="182" spans="1:22" ht="13.5" customHeight="1" x14ac:dyDescent="0.25">
      <c r="A182" s="594"/>
      <c r="B182" s="377"/>
      <c r="C182" s="377"/>
      <c r="D182" s="443">
        <f t="shared" si="28"/>
        <v>100</v>
      </c>
      <c r="E182" s="580"/>
      <c r="F182" s="580"/>
      <c r="J182" s="26">
        <f t="shared" si="30"/>
        <v>0</v>
      </c>
      <c r="K182" s="5">
        <f t="shared" si="31"/>
        <v>0</v>
      </c>
      <c r="L182" s="5">
        <f t="shared" si="32"/>
        <v>0</v>
      </c>
      <c r="M182" s="5">
        <f t="shared" si="33"/>
        <v>0</v>
      </c>
      <c r="N182" s="5">
        <f t="shared" si="34"/>
        <v>0</v>
      </c>
      <c r="O182" s="5">
        <f t="shared" si="35"/>
        <v>0</v>
      </c>
      <c r="P182" s="5">
        <f t="shared" si="36"/>
        <v>0</v>
      </c>
      <c r="Q182" s="5">
        <f t="shared" si="37"/>
        <v>0</v>
      </c>
      <c r="R182" s="5">
        <f t="shared" si="38"/>
        <v>0</v>
      </c>
      <c r="S182" s="5">
        <f t="shared" si="39"/>
        <v>0</v>
      </c>
      <c r="T182" s="5">
        <f t="shared" si="40"/>
        <v>0</v>
      </c>
      <c r="U182" s="5">
        <f t="shared" si="41"/>
        <v>0</v>
      </c>
      <c r="V182" s="5">
        <f t="shared" si="29"/>
        <v>0</v>
      </c>
    </row>
    <row r="183" spans="1:22" ht="13.5" customHeight="1" x14ac:dyDescent="0.25">
      <c r="A183" s="594"/>
      <c r="B183" s="377"/>
      <c r="C183" s="377"/>
      <c r="D183" s="443">
        <f t="shared" si="28"/>
        <v>100</v>
      </c>
      <c r="E183" s="580"/>
      <c r="F183" s="580"/>
      <c r="J183" s="26">
        <f t="shared" si="30"/>
        <v>0</v>
      </c>
      <c r="K183" s="5">
        <f t="shared" si="31"/>
        <v>0</v>
      </c>
      <c r="L183" s="5">
        <f t="shared" si="32"/>
        <v>0</v>
      </c>
      <c r="M183" s="5">
        <f t="shared" si="33"/>
        <v>0</v>
      </c>
      <c r="N183" s="5">
        <f t="shared" si="34"/>
        <v>0</v>
      </c>
      <c r="O183" s="5">
        <f t="shared" si="35"/>
        <v>0</v>
      </c>
      <c r="P183" s="5">
        <f t="shared" si="36"/>
        <v>0</v>
      </c>
      <c r="Q183" s="5">
        <f t="shared" si="37"/>
        <v>0</v>
      </c>
      <c r="R183" s="5">
        <f t="shared" si="38"/>
        <v>0</v>
      </c>
      <c r="S183" s="5">
        <f t="shared" si="39"/>
        <v>0</v>
      </c>
      <c r="T183" s="5">
        <f t="shared" si="40"/>
        <v>0</v>
      </c>
      <c r="U183" s="5">
        <f t="shared" si="41"/>
        <v>0</v>
      </c>
      <c r="V183" s="5">
        <f t="shared" si="29"/>
        <v>0</v>
      </c>
    </row>
    <row r="184" spans="1:22" ht="13.5" customHeight="1" x14ac:dyDescent="0.25">
      <c r="A184" s="594"/>
      <c r="B184" s="377"/>
      <c r="C184" s="377"/>
      <c r="D184" s="443">
        <f t="shared" si="28"/>
        <v>100</v>
      </c>
      <c r="E184" s="580"/>
      <c r="F184" s="580"/>
      <c r="J184" s="26">
        <f t="shared" si="30"/>
        <v>0</v>
      </c>
      <c r="K184" s="5">
        <f t="shared" si="31"/>
        <v>0</v>
      </c>
      <c r="L184" s="5">
        <f t="shared" si="32"/>
        <v>0</v>
      </c>
      <c r="M184" s="5">
        <f t="shared" si="33"/>
        <v>0</v>
      </c>
      <c r="N184" s="5">
        <f t="shared" si="34"/>
        <v>0</v>
      </c>
      <c r="O184" s="5">
        <f t="shared" si="35"/>
        <v>0</v>
      </c>
      <c r="P184" s="5">
        <f t="shared" si="36"/>
        <v>0</v>
      </c>
      <c r="Q184" s="5">
        <f t="shared" si="37"/>
        <v>0</v>
      </c>
      <c r="R184" s="5">
        <f t="shared" si="38"/>
        <v>0</v>
      </c>
      <c r="S184" s="5">
        <f t="shared" si="39"/>
        <v>0</v>
      </c>
      <c r="T184" s="5">
        <f t="shared" si="40"/>
        <v>0</v>
      </c>
      <c r="U184" s="5">
        <f t="shared" si="41"/>
        <v>0</v>
      </c>
      <c r="V184" s="5">
        <f t="shared" si="29"/>
        <v>0</v>
      </c>
    </row>
    <row r="185" spans="1:22" ht="13.5" customHeight="1" x14ac:dyDescent="0.25">
      <c r="A185" s="594"/>
      <c r="B185" s="377"/>
      <c r="C185" s="377"/>
      <c r="D185" s="443">
        <f t="shared" si="28"/>
        <v>100</v>
      </c>
      <c r="E185" s="580"/>
      <c r="F185" s="580"/>
      <c r="J185" s="26">
        <f t="shared" si="30"/>
        <v>0</v>
      </c>
      <c r="K185" s="5">
        <f t="shared" si="31"/>
        <v>0</v>
      </c>
      <c r="L185" s="5">
        <f t="shared" si="32"/>
        <v>0</v>
      </c>
      <c r="M185" s="5">
        <f t="shared" si="33"/>
        <v>0</v>
      </c>
      <c r="N185" s="5">
        <f t="shared" si="34"/>
        <v>0</v>
      </c>
      <c r="O185" s="5">
        <f t="shared" si="35"/>
        <v>0</v>
      </c>
      <c r="P185" s="5">
        <f t="shared" si="36"/>
        <v>0</v>
      </c>
      <c r="Q185" s="5">
        <f t="shared" si="37"/>
        <v>0</v>
      </c>
      <c r="R185" s="5">
        <f t="shared" si="38"/>
        <v>0</v>
      </c>
      <c r="S185" s="5">
        <f t="shared" si="39"/>
        <v>0</v>
      </c>
      <c r="T185" s="5">
        <f t="shared" si="40"/>
        <v>0</v>
      </c>
      <c r="U185" s="5">
        <f t="shared" si="41"/>
        <v>0</v>
      </c>
      <c r="V185" s="5">
        <f t="shared" si="29"/>
        <v>0</v>
      </c>
    </row>
    <row r="186" spans="1:22" ht="13.5" customHeight="1" x14ac:dyDescent="0.25">
      <c r="A186" s="594"/>
      <c r="B186" s="377"/>
      <c r="C186" s="377"/>
      <c r="D186" s="443">
        <f t="shared" si="28"/>
        <v>100</v>
      </c>
      <c r="E186" s="580"/>
      <c r="F186" s="580"/>
      <c r="J186" s="26">
        <f t="shared" si="30"/>
        <v>0</v>
      </c>
      <c r="K186" s="5">
        <f t="shared" si="31"/>
        <v>0</v>
      </c>
      <c r="L186" s="5">
        <f t="shared" si="32"/>
        <v>0</v>
      </c>
      <c r="M186" s="5">
        <f t="shared" si="33"/>
        <v>0</v>
      </c>
      <c r="N186" s="5">
        <f t="shared" si="34"/>
        <v>0</v>
      </c>
      <c r="O186" s="5">
        <f t="shared" si="35"/>
        <v>0</v>
      </c>
      <c r="P186" s="5">
        <f t="shared" si="36"/>
        <v>0</v>
      </c>
      <c r="Q186" s="5">
        <f t="shared" si="37"/>
        <v>0</v>
      </c>
      <c r="R186" s="5">
        <f t="shared" si="38"/>
        <v>0</v>
      </c>
      <c r="S186" s="5">
        <f t="shared" si="39"/>
        <v>0</v>
      </c>
      <c r="T186" s="5">
        <f t="shared" si="40"/>
        <v>0</v>
      </c>
      <c r="U186" s="5">
        <f t="shared" si="41"/>
        <v>0</v>
      </c>
      <c r="V186" s="5">
        <f t="shared" si="29"/>
        <v>0</v>
      </c>
    </row>
    <row r="187" spans="1:22" ht="13.5" customHeight="1" x14ac:dyDescent="0.25">
      <c r="A187" s="594"/>
      <c r="B187" s="377"/>
      <c r="C187" s="377"/>
      <c r="D187" s="443">
        <f t="shared" si="28"/>
        <v>100</v>
      </c>
      <c r="E187" s="580"/>
      <c r="F187" s="580"/>
      <c r="J187" s="26">
        <f t="shared" si="30"/>
        <v>0</v>
      </c>
      <c r="K187" s="5">
        <f t="shared" si="31"/>
        <v>0</v>
      </c>
      <c r="L187" s="5">
        <f t="shared" si="32"/>
        <v>0</v>
      </c>
      <c r="M187" s="5">
        <f t="shared" si="33"/>
        <v>0</v>
      </c>
      <c r="N187" s="5">
        <f t="shared" si="34"/>
        <v>0</v>
      </c>
      <c r="O187" s="5">
        <f t="shared" si="35"/>
        <v>0</v>
      </c>
      <c r="P187" s="5">
        <f t="shared" si="36"/>
        <v>0</v>
      </c>
      <c r="Q187" s="5">
        <f t="shared" si="37"/>
        <v>0</v>
      </c>
      <c r="R187" s="5">
        <f t="shared" si="38"/>
        <v>0</v>
      </c>
      <c r="S187" s="5">
        <f t="shared" si="39"/>
        <v>0</v>
      </c>
      <c r="T187" s="5">
        <f t="shared" si="40"/>
        <v>0</v>
      </c>
      <c r="U187" s="5">
        <f t="shared" si="41"/>
        <v>0</v>
      </c>
      <c r="V187" s="5">
        <f t="shared" si="29"/>
        <v>0</v>
      </c>
    </row>
    <row r="188" spans="1:22" ht="13.5" customHeight="1" x14ac:dyDescent="0.25">
      <c r="A188" s="594"/>
      <c r="B188" s="377"/>
      <c r="C188" s="377"/>
      <c r="D188" s="443">
        <f t="shared" si="28"/>
        <v>100</v>
      </c>
      <c r="E188" s="580"/>
      <c r="F188" s="580"/>
      <c r="J188" s="26">
        <f t="shared" si="30"/>
        <v>0</v>
      </c>
      <c r="K188" s="5">
        <f t="shared" si="31"/>
        <v>0</v>
      </c>
      <c r="L188" s="5">
        <f t="shared" si="32"/>
        <v>0</v>
      </c>
      <c r="M188" s="5">
        <f t="shared" si="33"/>
        <v>0</v>
      </c>
      <c r="N188" s="5">
        <f t="shared" si="34"/>
        <v>0</v>
      </c>
      <c r="O188" s="5">
        <f t="shared" si="35"/>
        <v>0</v>
      </c>
      <c r="P188" s="5">
        <f t="shared" si="36"/>
        <v>0</v>
      </c>
      <c r="Q188" s="5">
        <f t="shared" si="37"/>
        <v>0</v>
      </c>
      <c r="R188" s="5">
        <f t="shared" si="38"/>
        <v>0</v>
      </c>
      <c r="S188" s="5">
        <f t="shared" si="39"/>
        <v>0</v>
      </c>
      <c r="T188" s="5">
        <f t="shared" si="40"/>
        <v>0</v>
      </c>
      <c r="U188" s="5">
        <f t="shared" si="41"/>
        <v>0</v>
      </c>
      <c r="V188" s="5">
        <f t="shared" si="29"/>
        <v>0</v>
      </c>
    </row>
    <row r="189" spans="1:22" ht="13.5" customHeight="1" x14ac:dyDescent="0.25">
      <c r="A189" s="594"/>
      <c r="B189" s="377"/>
      <c r="C189" s="377"/>
      <c r="D189" s="443">
        <f t="shared" si="28"/>
        <v>100</v>
      </c>
      <c r="E189" s="580"/>
      <c r="F189" s="580"/>
      <c r="J189" s="26">
        <f t="shared" si="30"/>
        <v>0</v>
      </c>
      <c r="K189" s="5">
        <f t="shared" si="31"/>
        <v>0</v>
      </c>
      <c r="L189" s="5">
        <f t="shared" si="32"/>
        <v>0</v>
      </c>
      <c r="M189" s="5">
        <f t="shared" si="33"/>
        <v>0</v>
      </c>
      <c r="N189" s="5">
        <f t="shared" si="34"/>
        <v>0</v>
      </c>
      <c r="O189" s="5">
        <f t="shared" si="35"/>
        <v>0</v>
      </c>
      <c r="P189" s="5">
        <f t="shared" si="36"/>
        <v>0</v>
      </c>
      <c r="Q189" s="5">
        <f t="shared" si="37"/>
        <v>0</v>
      </c>
      <c r="R189" s="5">
        <f t="shared" si="38"/>
        <v>0</v>
      </c>
      <c r="S189" s="5">
        <f t="shared" si="39"/>
        <v>0</v>
      </c>
      <c r="T189" s="5">
        <f t="shared" si="40"/>
        <v>0</v>
      </c>
      <c r="U189" s="5">
        <f t="shared" si="41"/>
        <v>0</v>
      </c>
      <c r="V189" s="5">
        <f t="shared" si="29"/>
        <v>0</v>
      </c>
    </row>
    <row r="190" spans="1:22" ht="13.5" customHeight="1" x14ac:dyDescent="0.25">
      <c r="A190" s="594"/>
      <c r="B190" s="377"/>
      <c r="C190" s="377"/>
      <c r="D190" s="443">
        <f t="shared" si="28"/>
        <v>100</v>
      </c>
      <c r="E190" s="580"/>
      <c r="F190" s="580"/>
      <c r="J190" s="26">
        <f t="shared" si="30"/>
        <v>0</v>
      </c>
      <c r="K190" s="5">
        <f t="shared" si="31"/>
        <v>0</v>
      </c>
      <c r="L190" s="5">
        <f t="shared" si="32"/>
        <v>0</v>
      </c>
      <c r="M190" s="5">
        <f t="shared" si="33"/>
        <v>0</v>
      </c>
      <c r="N190" s="5">
        <f t="shared" si="34"/>
        <v>0</v>
      </c>
      <c r="O190" s="5">
        <f t="shared" si="35"/>
        <v>0</v>
      </c>
      <c r="P190" s="5">
        <f t="shared" si="36"/>
        <v>0</v>
      </c>
      <c r="Q190" s="5">
        <f t="shared" si="37"/>
        <v>0</v>
      </c>
      <c r="R190" s="5">
        <f t="shared" si="38"/>
        <v>0</v>
      </c>
      <c r="S190" s="5">
        <f t="shared" si="39"/>
        <v>0</v>
      </c>
      <c r="T190" s="5">
        <f t="shared" si="40"/>
        <v>0</v>
      </c>
      <c r="U190" s="5">
        <f t="shared" si="41"/>
        <v>0</v>
      </c>
      <c r="V190" s="5">
        <f t="shared" si="29"/>
        <v>0</v>
      </c>
    </row>
    <row r="191" spans="1:22" ht="13.5" customHeight="1" x14ac:dyDescent="0.25">
      <c r="A191" s="594"/>
      <c r="B191" s="377"/>
      <c r="C191" s="377"/>
      <c r="D191" s="443">
        <f t="shared" si="28"/>
        <v>100</v>
      </c>
      <c r="E191" s="580"/>
      <c r="F191" s="580"/>
      <c r="J191" s="26">
        <f t="shared" si="30"/>
        <v>0</v>
      </c>
      <c r="K191" s="5">
        <f t="shared" si="31"/>
        <v>0</v>
      </c>
      <c r="L191" s="5">
        <f t="shared" si="32"/>
        <v>0</v>
      </c>
      <c r="M191" s="5">
        <f t="shared" si="33"/>
        <v>0</v>
      </c>
      <c r="N191" s="5">
        <f t="shared" si="34"/>
        <v>0</v>
      </c>
      <c r="O191" s="5">
        <f t="shared" si="35"/>
        <v>0</v>
      </c>
      <c r="P191" s="5">
        <f t="shared" si="36"/>
        <v>0</v>
      </c>
      <c r="Q191" s="5">
        <f t="shared" si="37"/>
        <v>0</v>
      </c>
      <c r="R191" s="5">
        <f t="shared" si="38"/>
        <v>0</v>
      </c>
      <c r="S191" s="5">
        <f t="shared" si="39"/>
        <v>0</v>
      </c>
      <c r="T191" s="5">
        <f t="shared" si="40"/>
        <v>0</v>
      </c>
      <c r="U191" s="5">
        <f t="shared" si="41"/>
        <v>0</v>
      </c>
      <c r="V191" s="5">
        <f t="shared" si="29"/>
        <v>0</v>
      </c>
    </row>
    <row r="192" spans="1:22" ht="13.5" customHeight="1" x14ac:dyDescent="0.25">
      <c r="A192" s="594"/>
      <c r="B192" s="377"/>
      <c r="C192" s="377"/>
      <c r="D192" s="443">
        <f t="shared" si="28"/>
        <v>100</v>
      </c>
      <c r="E192" s="580"/>
      <c r="F192" s="580"/>
      <c r="J192" s="26">
        <f t="shared" si="30"/>
        <v>0</v>
      </c>
      <c r="K192" s="5">
        <f t="shared" si="31"/>
        <v>0</v>
      </c>
      <c r="L192" s="5">
        <f t="shared" si="32"/>
        <v>0</v>
      </c>
      <c r="M192" s="5">
        <f t="shared" si="33"/>
        <v>0</v>
      </c>
      <c r="N192" s="5">
        <f t="shared" si="34"/>
        <v>0</v>
      </c>
      <c r="O192" s="5">
        <f t="shared" si="35"/>
        <v>0</v>
      </c>
      <c r="P192" s="5">
        <f t="shared" si="36"/>
        <v>0</v>
      </c>
      <c r="Q192" s="5">
        <f t="shared" si="37"/>
        <v>0</v>
      </c>
      <c r="R192" s="5">
        <f t="shared" si="38"/>
        <v>0</v>
      </c>
      <c r="S192" s="5">
        <f t="shared" si="39"/>
        <v>0</v>
      </c>
      <c r="T192" s="5">
        <f t="shared" si="40"/>
        <v>0</v>
      </c>
      <c r="U192" s="5">
        <f t="shared" si="41"/>
        <v>0</v>
      </c>
      <c r="V192" s="5">
        <f t="shared" si="29"/>
        <v>0</v>
      </c>
    </row>
    <row r="193" spans="1:22" ht="13.5" customHeight="1" x14ac:dyDescent="0.25">
      <c r="A193" s="594"/>
      <c r="B193" s="377"/>
      <c r="C193" s="377"/>
      <c r="D193" s="443">
        <f t="shared" si="28"/>
        <v>100</v>
      </c>
      <c r="E193" s="580"/>
      <c r="F193" s="580"/>
      <c r="J193" s="26">
        <f t="shared" si="30"/>
        <v>0</v>
      </c>
      <c r="K193" s="5">
        <f t="shared" si="31"/>
        <v>0</v>
      </c>
      <c r="L193" s="5">
        <f t="shared" si="32"/>
        <v>0</v>
      </c>
      <c r="M193" s="5">
        <f t="shared" si="33"/>
        <v>0</v>
      </c>
      <c r="N193" s="5">
        <f t="shared" si="34"/>
        <v>0</v>
      </c>
      <c r="O193" s="5">
        <f t="shared" si="35"/>
        <v>0</v>
      </c>
      <c r="P193" s="5">
        <f t="shared" si="36"/>
        <v>0</v>
      </c>
      <c r="Q193" s="5">
        <f t="shared" si="37"/>
        <v>0</v>
      </c>
      <c r="R193" s="5">
        <f t="shared" si="38"/>
        <v>0</v>
      </c>
      <c r="S193" s="5">
        <f t="shared" si="39"/>
        <v>0</v>
      </c>
      <c r="T193" s="5">
        <f t="shared" si="40"/>
        <v>0</v>
      </c>
      <c r="U193" s="5">
        <f t="shared" si="41"/>
        <v>0</v>
      </c>
      <c r="V193" s="5">
        <f t="shared" si="29"/>
        <v>0</v>
      </c>
    </row>
    <row r="194" spans="1:22" ht="13.5" customHeight="1" x14ac:dyDescent="0.25">
      <c r="A194" s="594"/>
      <c r="B194" s="377"/>
      <c r="C194" s="377"/>
      <c r="D194" s="443">
        <f t="shared" si="28"/>
        <v>100</v>
      </c>
      <c r="E194" s="580"/>
      <c r="F194" s="580"/>
      <c r="J194" s="26">
        <f t="shared" si="30"/>
        <v>0</v>
      </c>
      <c r="K194" s="5">
        <f t="shared" si="31"/>
        <v>0</v>
      </c>
      <c r="L194" s="5">
        <f t="shared" si="32"/>
        <v>0</v>
      </c>
      <c r="M194" s="5">
        <f t="shared" si="33"/>
        <v>0</v>
      </c>
      <c r="N194" s="5">
        <f t="shared" si="34"/>
        <v>0</v>
      </c>
      <c r="O194" s="5">
        <f t="shared" si="35"/>
        <v>0</v>
      </c>
      <c r="P194" s="5">
        <f t="shared" si="36"/>
        <v>0</v>
      </c>
      <c r="Q194" s="5">
        <f t="shared" si="37"/>
        <v>0</v>
      </c>
      <c r="R194" s="5">
        <f t="shared" si="38"/>
        <v>0</v>
      </c>
      <c r="S194" s="5">
        <f t="shared" si="39"/>
        <v>0</v>
      </c>
      <c r="T194" s="5">
        <f t="shared" si="40"/>
        <v>0</v>
      </c>
      <c r="U194" s="5">
        <f t="shared" si="41"/>
        <v>0</v>
      </c>
      <c r="V194" s="5">
        <f t="shared" si="29"/>
        <v>0</v>
      </c>
    </row>
    <row r="195" spans="1:22" ht="13.5" customHeight="1" x14ac:dyDescent="0.25">
      <c r="A195" s="594"/>
      <c r="B195" s="377"/>
      <c r="C195" s="377"/>
      <c r="D195" s="443">
        <f t="shared" si="28"/>
        <v>100</v>
      </c>
      <c r="E195" s="580"/>
      <c r="F195" s="580"/>
      <c r="J195" s="26">
        <f t="shared" si="30"/>
        <v>0</v>
      </c>
      <c r="K195" s="5">
        <f t="shared" si="31"/>
        <v>0</v>
      </c>
      <c r="L195" s="5">
        <f t="shared" si="32"/>
        <v>0</v>
      </c>
      <c r="M195" s="5">
        <f t="shared" si="33"/>
        <v>0</v>
      </c>
      <c r="N195" s="5">
        <f t="shared" si="34"/>
        <v>0</v>
      </c>
      <c r="O195" s="5">
        <f t="shared" si="35"/>
        <v>0</v>
      </c>
      <c r="P195" s="5">
        <f t="shared" si="36"/>
        <v>0</v>
      </c>
      <c r="Q195" s="5">
        <f t="shared" si="37"/>
        <v>0</v>
      </c>
      <c r="R195" s="5">
        <f t="shared" si="38"/>
        <v>0</v>
      </c>
      <c r="S195" s="5">
        <f t="shared" si="39"/>
        <v>0</v>
      </c>
      <c r="T195" s="5">
        <f t="shared" si="40"/>
        <v>0</v>
      </c>
      <c r="U195" s="5">
        <f t="shared" si="41"/>
        <v>0</v>
      </c>
      <c r="V195" s="5">
        <f t="shared" si="29"/>
        <v>0</v>
      </c>
    </row>
    <row r="196" spans="1:22" ht="13.5" customHeight="1" x14ac:dyDescent="0.25">
      <c r="A196" s="594"/>
      <c r="B196" s="377"/>
      <c r="C196" s="377"/>
      <c r="D196" s="443">
        <f t="shared" si="28"/>
        <v>100</v>
      </c>
      <c r="E196" s="580"/>
      <c r="F196" s="580"/>
      <c r="J196" s="26">
        <f t="shared" si="30"/>
        <v>0</v>
      </c>
      <c r="K196" s="5">
        <f t="shared" si="31"/>
        <v>0</v>
      </c>
      <c r="L196" s="5">
        <f t="shared" si="32"/>
        <v>0</v>
      </c>
      <c r="M196" s="5">
        <f t="shared" si="33"/>
        <v>0</v>
      </c>
      <c r="N196" s="5">
        <f t="shared" si="34"/>
        <v>0</v>
      </c>
      <c r="O196" s="5">
        <f t="shared" si="35"/>
        <v>0</v>
      </c>
      <c r="P196" s="5">
        <f t="shared" si="36"/>
        <v>0</v>
      </c>
      <c r="Q196" s="5">
        <f t="shared" si="37"/>
        <v>0</v>
      </c>
      <c r="R196" s="5">
        <f t="shared" si="38"/>
        <v>0</v>
      </c>
      <c r="S196" s="5">
        <f t="shared" si="39"/>
        <v>0</v>
      </c>
      <c r="T196" s="5">
        <f t="shared" si="40"/>
        <v>0</v>
      </c>
      <c r="U196" s="5">
        <f t="shared" si="41"/>
        <v>0</v>
      </c>
      <c r="V196" s="5">
        <f t="shared" si="29"/>
        <v>0</v>
      </c>
    </row>
    <row r="197" spans="1:22" ht="13.5" customHeight="1" x14ac:dyDescent="0.25">
      <c r="A197" s="594"/>
      <c r="B197" s="377"/>
      <c r="C197" s="377"/>
      <c r="D197" s="443">
        <f t="shared" si="28"/>
        <v>100</v>
      </c>
      <c r="E197" s="580"/>
      <c r="F197" s="580"/>
      <c r="J197" s="26">
        <f t="shared" si="30"/>
        <v>0</v>
      </c>
      <c r="K197" s="5">
        <f t="shared" si="31"/>
        <v>0</v>
      </c>
      <c r="L197" s="5">
        <f t="shared" si="32"/>
        <v>0</v>
      </c>
      <c r="M197" s="5">
        <f t="shared" si="33"/>
        <v>0</v>
      </c>
      <c r="N197" s="5">
        <f t="shared" si="34"/>
        <v>0</v>
      </c>
      <c r="O197" s="5">
        <f t="shared" si="35"/>
        <v>0</v>
      </c>
      <c r="P197" s="5">
        <f t="shared" si="36"/>
        <v>0</v>
      </c>
      <c r="Q197" s="5">
        <f t="shared" si="37"/>
        <v>0</v>
      </c>
      <c r="R197" s="5">
        <f t="shared" si="38"/>
        <v>0</v>
      </c>
      <c r="S197" s="5">
        <f t="shared" si="39"/>
        <v>0</v>
      </c>
      <c r="T197" s="5">
        <f t="shared" si="40"/>
        <v>0</v>
      </c>
      <c r="U197" s="5">
        <f t="shared" si="41"/>
        <v>0</v>
      </c>
      <c r="V197" s="5">
        <f t="shared" si="29"/>
        <v>0</v>
      </c>
    </row>
    <row r="198" spans="1:22" ht="13.5" customHeight="1" x14ac:dyDescent="0.25">
      <c r="A198" s="594"/>
      <c r="B198" s="377"/>
      <c r="C198" s="377"/>
      <c r="D198" s="443">
        <f t="shared" si="28"/>
        <v>100</v>
      </c>
      <c r="E198" s="580"/>
      <c r="F198" s="580"/>
      <c r="J198" s="26">
        <f t="shared" si="30"/>
        <v>0</v>
      </c>
      <c r="K198" s="5">
        <f t="shared" si="31"/>
        <v>0</v>
      </c>
      <c r="L198" s="5">
        <f t="shared" si="32"/>
        <v>0</v>
      </c>
      <c r="M198" s="5">
        <f t="shared" si="33"/>
        <v>0</v>
      </c>
      <c r="N198" s="5">
        <f t="shared" si="34"/>
        <v>0</v>
      </c>
      <c r="O198" s="5">
        <f t="shared" si="35"/>
        <v>0</v>
      </c>
      <c r="P198" s="5">
        <f t="shared" si="36"/>
        <v>0</v>
      </c>
      <c r="Q198" s="5">
        <f t="shared" si="37"/>
        <v>0</v>
      </c>
      <c r="R198" s="5">
        <f t="shared" si="38"/>
        <v>0</v>
      </c>
      <c r="S198" s="5">
        <f t="shared" si="39"/>
        <v>0</v>
      </c>
      <c r="T198" s="5">
        <f t="shared" si="40"/>
        <v>0</v>
      </c>
      <c r="U198" s="5">
        <f t="shared" si="41"/>
        <v>0</v>
      </c>
      <c r="V198" s="5">
        <f t="shared" si="29"/>
        <v>0</v>
      </c>
    </row>
    <row r="199" spans="1:22" ht="13.5" customHeight="1" x14ac:dyDescent="0.25">
      <c r="A199" s="594"/>
      <c r="B199" s="377"/>
      <c r="C199" s="377"/>
      <c r="D199" s="443">
        <f t="shared" si="28"/>
        <v>100</v>
      </c>
      <c r="E199" s="580"/>
      <c r="F199" s="580"/>
      <c r="J199" s="26">
        <f t="shared" si="30"/>
        <v>0</v>
      </c>
      <c r="K199" s="5">
        <f t="shared" si="31"/>
        <v>0</v>
      </c>
      <c r="L199" s="5">
        <f t="shared" si="32"/>
        <v>0</v>
      </c>
      <c r="M199" s="5">
        <f t="shared" si="33"/>
        <v>0</v>
      </c>
      <c r="N199" s="5">
        <f t="shared" si="34"/>
        <v>0</v>
      </c>
      <c r="O199" s="5">
        <f t="shared" si="35"/>
        <v>0</v>
      </c>
      <c r="P199" s="5">
        <f t="shared" si="36"/>
        <v>0</v>
      </c>
      <c r="Q199" s="5">
        <f t="shared" si="37"/>
        <v>0</v>
      </c>
      <c r="R199" s="5">
        <f t="shared" si="38"/>
        <v>0</v>
      </c>
      <c r="S199" s="5">
        <f t="shared" si="39"/>
        <v>0</v>
      </c>
      <c r="T199" s="5">
        <f t="shared" si="40"/>
        <v>0</v>
      </c>
      <c r="U199" s="5">
        <f t="shared" si="41"/>
        <v>0</v>
      </c>
      <c r="V199" s="5">
        <f t="shared" si="29"/>
        <v>0</v>
      </c>
    </row>
    <row r="200" spans="1:22" ht="13.5" customHeight="1" x14ac:dyDescent="0.25">
      <c r="A200" s="594"/>
      <c r="B200" s="377"/>
      <c r="C200" s="377"/>
      <c r="D200" s="443">
        <f t="shared" si="28"/>
        <v>100</v>
      </c>
      <c r="E200" s="580"/>
      <c r="F200" s="580"/>
      <c r="J200" s="26">
        <f t="shared" si="30"/>
        <v>0</v>
      </c>
      <c r="K200" s="5">
        <f t="shared" si="31"/>
        <v>0</v>
      </c>
      <c r="L200" s="5">
        <f t="shared" si="32"/>
        <v>0</v>
      </c>
      <c r="M200" s="5">
        <f t="shared" si="33"/>
        <v>0</v>
      </c>
      <c r="N200" s="5">
        <f t="shared" si="34"/>
        <v>0</v>
      </c>
      <c r="O200" s="5">
        <f t="shared" si="35"/>
        <v>0</v>
      </c>
      <c r="P200" s="5">
        <f t="shared" si="36"/>
        <v>0</v>
      </c>
      <c r="Q200" s="5">
        <f t="shared" si="37"/>
        <v>0</v>
      </c>
      <c r="R200" s="5">
        <f t="shared" si="38"/>
        <v>0</v>
      </c>
      <c r="S200" s="5">
        <f t="shared" si="39"/>
        <v>0</v>
      </c>
      <c r="T200" s="5">
        <f t="shared" si="40"/>
        <v>0</v>
      </c>
      <c r="U200" s="5">
        <f t="shared" si="41"/>
        <v>0</v>
      </c>
      <c r="V200" s="5">
        <f t="shared" si="29"/>
        <v>0</v>
      </c>
    </row>
    <row r="201" spans="1:22" ht="13.5" customHeight="1" x14ac:dyDescent="0.25">
      <c r="A201" s="594"/>
      <c r="B201" s="377"/>
      <c r="C201" s="377"/>
      <c r="D201" s="443">
        <f t="shared" si="28"/>
        <v>100</v>
      </c>
      <c r="E201" s="580"/>
      <c r="F201" s="580"/>
      <c r="J201" s="26">
        <f t="shared" si="30"/>
        <v>0</v>
      </c>
      <c r="K201" s="5">
        <f t="shared" si="31"/>
        <v>0</v>
      </c>
      <c r="L201" s="5">
        <f t="shared" si="32"/>
        <v>0</v>
      </c>
      <c r="M201" s="5">
        <f t="shared" si="33"/>
        <v>0</v>
      </c>
      <c r="N201" s="5">
        <f t="shared" si="34"/>
        <v>0</v>
      </c>
      <c r="O201" s="5">
        <f t="shared" si="35"/>
        <v>0</v>
      </c>
      <c r="P201" s="5">
        <f t="shared" si="36"/>
        <v>0</v>
      </c>
      <c r="Q201" s="5">
        <f t="shared" si="37"/>
        <v>0</v>
      </c>
      <c r="R201" s="5">
        <f t="shared" si="38"/>
        <v>0</v>
      </c>
      <c r="S201" s="5">
        <f t="shared" si="39"/>
        <v>0</v>
      </c>
      <c r="T201" s="5">
        <f t="shared" si="40"/>
        <v>0</v>
      </c>
      <c r="U201" s="5">
        <f t="shared" si="41"/>
        <v>0</v>
      </c>
      <c r="V201" s="5">
        <f t="shared" si="29"/>
        <v>0</v>
      </c>
    </row>
    <row r="202" spans="1:22" ht="13.5" customHeight="1" x14ac:dyDescent="0.25">
      <c r="A202" s="594"/>
      <c r="B202" s="377"/>
      <c r="C202" s="377"/>
      <c r="D202" s="443">
        <f t="shared" si="28"/>
        <v>100</v>
      </c>
      <c r="E202" s="580"/>
      <c r="F202" s="580"/>
      <c r="J202" s="26">
        <f t="shared" si="30"/>
        <v>0</v>
      </c>
      <c r="K202" s="5">
        <f t="shared" si="31"/>
        <v>0</v>
      </c>
      <c r="L202" s="5">
        <f t="shared" si="32"/>
        <v>0</v>
      </c>
      <c r="M202" s="5">
        <f t="shared" si="33"/>
        <v>0</v>
      </c>
      <c r="N202" s="5">
        <f t="shared" si="34"/>
        <v>0</v>
      </c>
      <c r="O202" s="5">
        <f t="shared" si="35"/>
        <v>0</v>
      </c>
      <c r="P202" s="5">
        <f t="shared" si="36"/>
        <v>0</v>
      </c>
      <c r="Q202" s="5">
        <f t="shared" si="37"/>
        <v>0</v>
      </c>
      <c r="R202" s="5">
        <f t="shared" si="38"/>
        <v>0</v>
      </c>
      <c r="S202" s="5">
        <f t="shared" si="39"/>
        <v>0</v>
      </c>
      <c r="T202" s="5">
        <f t="shared" si="40"/>
        <v>0</v>
      </c>
      <c r="U202" s="5">
        <f t="shared" si="41"/>
        <v>0</v>
      </c>
      <c r="V202" s="5">
        <f t="shared" si="29"/>
        <v>0</v>
      </c>
    </row>
    <row r="203" spans="1:22" ht="13.5" customHeight="1" x14ac:dyDescent="0.25">
      <c r="A203" s="594"/>
      <c r="B203" s="377"/>
      <c r="C203" s="377"/>
      <c r="D203" s="443">
        <f t="shared" si="28"/>
        <v>100</v>
      </c>
      <c r="E203" s="580"/>
      <c r="F203" s="580"/>
      <c r="J203" s="26">
        <f t="shared" si="30"/>
        <v>0</v>
      </c>
      <c r="K203" s="5">
        <f t="shared" si="31"/>
        <v>0</v>
      </c>
      <c r="L203" s="5">
        <f t="shared" si="32"/>
        <v>0</v>
      </c>
      <c r="M203" s="5">
        <f t="shared" si="33"/>
        <v>0</v>
      </c>
      <c r="N203" s="5">
        <f t="shared" si="34"/>
        <v>0</v>
      </c>
      <c r="O203" s="5">
        <f t="shared" si="35"/>
        <v>0</v>
      </c>
      <c r="P203" s="5">
        <f t="shared" si="36"/>
        <v>0</v>
      </c>
      <c r="Q203" s="5">
        <f t="shared" si="37"/>
        <v>0</v>
      </c>
      <c r="R203" s="5">
        <f t="shared" si="38"/>
        <v>0</v>
      </c>
      <c r="S203" s="5">
        <f t="shared" si="39"/>
        <v>0</v>
      </c>
      <c r="T203" s="5">
        <f t="shared" si="40"/>
        <v>0</v>
      </c>
      <c r="U203" s="5">
        <f t="shared" si="41"/>
        <v>0</v>
      </c>
      <c r="V203" s="5">
        <f t="shared" si="29"/>
        <v>0</v>
      </c>
    </row>
    <row r="204" spans="1:22" ht="13.5" customHeight="1" x14ac:dyDescent="0.25">
      <c r="A204" s="594"/>
      <c r="B204" s="377"/>
      <c r="C204" s="377"/>
      <c r="D204" s="443">
        <f t="shared" si="28"/>
        <v>100</v>
      </c>
      <c r="E204" s="580"/>
      <c r="F204" s="580"/>
      <c r="J204" s="26">
        <f t="shared" si="30"/>
        <v>0</v>
      </c>
      <c r="K204" s="5">
        <f t="shared" si="31"/>
        <v>0</v>
      </c>
      <c r="L204" s="5">
        <f t="shared" si="32"/>
        <v>0</v>
      </c>
      <c r="M204" s="5">
        <f t="shared" si="33"/>
        <v>0</v>
      </c>
      <c r="N204" s="5">
        <f t="shared" si="34"/>
        <v>0</v>
      </c>
      <c r="O204" s="5">
        <f t="shared" si="35"/>
        <v>0</v>
      </c>
      <c r="P204" s="5">
        <f t="shared" si="36"/>
        <v>0</v>
      </c>
      <c r="Q204" s="5">
        <f t="shared" si="37"/>
        <v>0</v>
      </c>
      <c r="R204" s="5">
        <f t="shared" si="38"/>
        <v>0</v>
      </c>
      <c r="S204" s="5">
        <f t="shared" si="39"/>
        <v>0</v>
      </c>
      <c r="T204" s="5">
        <f t="shared" si="40"/>
        <v>0</v>
      </c>
      <c r="U204" s="5">
        <f t="shared" si="41"/>
        <v>0</v>
      </c>
      <c r="V204" s="5">
        <f t="shared" si="29"/>
        <v>0</v>
      </c>
    </row>
    <row r="205" spans="1:22" ht="13.5" customHeight="1" x14ac:dyDescent="0.25">
      <c r="A205" s="594"/>
      <c r="B205" s="377"/>
      <c r="C205" s="377"/>
      <c r="D205" s="443">
        <f t="shared" si="28"/>
        <v>100</v>
      </c>
      <c r="E205" s="580"/>
      <c r="F205" s="580"/>
      <c r="J205" s="26">
        <f t="shared" si="30"/>
        <v>0</v>
      </c>
      <c r="K205" s="5">
        <f t="shared" si="31"/>
        <v>0</v>
      </c>
      <c r="L205" s="5">
        <f t="shared" si="32"/>
        <v>0</v>
      </c>
      <c r="M205" s="5">
        <f t="shared" si="33"/>
        <v>0</v>
      </c>
      <c r="N205" s="5">
        <f t="shared" si="34"/>
        <v>0</v>
      </c>
      <c r="O205" s="5">
        <f t="shared" si="35"/>
        <v>0</v>
      </c>
      <c r="P205" s="5">
        <f t="shared" si="36"/>
        <v>0</v>
      </c>
      <c r="Q205" s="5">
        <f t="shared" si="37"/>
        <v>0</v>
      </c>
      <c r="R205" s="5">
        <f t="shared" si="38"/>
        <v>0</v>
      </c>
      <c r="S205" s="5">
        <f t="shared" si="39"/>
        <v>0</v>
      </c>
      <c r="T205" s="5">
        <f t="shared" si="40"/>
        <v>0</v>
      </c>
      <c r="U205" s="5">
        <f t="shared" si="41"/>
        <v>0</v>
      </c>
      <c r="V205" s="5">
        <f t="shared" si="29"/>
        <v>0</v>
      </c>
    </row>
    <row r="206" spans="1:22" ht="13.5" customHeight="1" x14ac:dyDescent="0.25">
      <c r="A206" s="594"/>
      <c r="B206" s="377"/>
      <c r="C206" s="377"/>
      <c r="D206" s="443">
        <f t="shared" si="28"/>
        <v>100</v>
      </c>
      <c r="E206" s="580"/>
      <c r="F206" s="580"/>
      <c r="J206" s="26">
        <f t="shared" si="30"/>
        <v>0</v>
      </c>
      <c r="K206" s="5">
        <f t="shared" si="31"/>
        <v>0</v>
      </c>
      <c r="L206" s="5">
        <f t="shared" si="32"/>
        <v>0</v>
      </c>
      <c r="M206" s="5">
        <f t="shared" si="33"/>
        <v>0</v>
      </c>
      <c r="N206" s="5">
        <f t="shared" si="34"/>
        <v>0</v>
      </c>
      <c r="O206" s="5">
        <f t="shared" si="35"/>
        <v>0</v>
      </c>
      <c r="P206" s="5">
        <f t="shared" si="36"/>
        <v>0</v>
      </c>
      <c r="Q206" s="5">
        <f t="shared" si="37"/>
        <v>0</v>
      </c>
      <c r="R206" s="5">
        <f t="shared" si="38"/>
        <v>0</v>
      </c>
      <c r="S206" s="5">
        <f t="shared" si="39"/>
        <v>0</v>
      </c>
      <c r="T206" s="5">
        <f t="shared" si="40"/>
        <v>0</v>
      </c>
      <c r="U206" s="5">
        <f t="shared" si="41"/>
        <v>0</v>
      </c>
      <c r="V206" s="5">
        <f t="shared" si="29"/>
        <v>0</v>
      </c>
    </row>
    <row r="207" spans="1:22" ht="13.5" customHeight="1" x14ac:dyDescent="0.25">
      <c r="A207" s="594"/>
      <c r="B207" s="377"/>
      <c r="C207" s="377"/>
      <c r="D207" s="443">
        <f t="shared" si="28"/>
        <v>100</v>
      </c>
      <c r="E207" s="580"/>
      <c r="F207" s="580"/>
      <c r="J207" s="26">
        <f t="shared" si="30"/>
        <v>0</v>
      </c>
      <c r="K207" s="5">
        <f t="shared" si="31"/>
        <v>0</v>
      </c>
      <c r="L207" s="5">
        <f t="shared" si="32"/>
        <v>0</v>
      </c>
      <c r="M207" s="5">
        <f t="shared" si="33"/>
        <v>0</v>
      </c>
      <c r="N207" s="5">
        <f t="shared" si="34"/>
        <v>0</v>
      </c>
      <c r="O207" s="5">
        <f t="shared" si="35"/>
        <v>0</v>
      </c>
      <c r="P207" s="5">
        <f t="shared" si="36"/>
        <v>0</v>
      </c>
      <c r="Q207" s="5">
        <f t="shared" si="37"/>
        <v>0</v>
      </c>
      <c r="R207" s="5">
        <f t="shared" si="38"/>
        <v>0</v>
      </c>
      <c r="S207" s="5">
        <f t="shared" si="39"/>
        <v>0</v>
      </c>
      <c r="T207" s="5">
        <f t="shared" si="40"/>
        <v>0</v>
      </c>
      <c r="U207" s="5">
        <f t="shared" si="41"/>
        <v>0</v>
      </c>
      <c r="V207" s="5">
        <f t="shared" si="29"/>
        <v>0</v>
      </c>
    </row>
    <row r="208" spans="1:22" ht="13.5" customHeight="1" x14ac:dyDescent="0.25">
      <c r="A208" s="594"/>
      <c r="B208" s="377"/>
      <c r="C208" s="377"/>
      <c r="D208" s="443">
        <f t="shared" si="28"/>
        <v>100</v>
      </c>
      <c r="E208" s="580"/>
      <c r="F208" s="580"/>
      <c r="J208" s="26">
        <f t="shared" si="30"/>
        <v>0</v>
      </c>
      <c r="K208" s="5">
        <f t="shared" si="31"/>
        <v>0</v>
      </c>
      <c r="L208" s="5">
        <f t="shared" si="32"/>
        <v>0</v>
      </c>
      <c r="M208" s="5">
        <f t="shared" si="33"/>
        <v>0</v>
      </c>
      <c r="N208" s="5">
        <f t="shared" si="34"/>
        <v>0</v>
      </c>
      <c r="O208" s="5">
        <f t="shared" si="35"/>
        <v>0</v>
      </c>
      <c r="P208" s="5">
        <f t="shared" si="36"/>
        <v>0</v>
      </c>
      <c r="Q208" s="5">
        <f t="shared" si="37"/>
        <v>0</v>
      </c>
      <c r="R208" s="5">
        <f t="shared" si="38"/>
        <v>0</v>
      </c>
      <c r="S208" s="5">
        <f t="shared" si="39"/>
        <v>0</v>
      </c>
      <c r="T208" s="5">
        <f t="shared" si="40"/>
        <v>0</v>
      </c>
      <c r="U208" s="5">
        <f t="shared" si="41"/>
        <v>0</v>
      </c>
      <c r="V208" s="5">
        <f t="shared" si="29"/>
        <v>0</v>
      </c>
    </row>
    <row r="209" spans="1:22" ht="13.5" customHeight="1" x14ac:dyDescent="0.25">
      <c r="A209" s="594"/>
      <c r="B209" s="377"/>
      <c r="C209" s="377"/>
      <c r="D209" s="443">
        <f t="shared" si="28"/>
        <v>100</v>
      </c>
      <c r="E209" s="580"/>
      <c r="F209" s="580"/>
      <c r="J209" s="26">
        <f t="shared" si="30"/>
        <v>0</v>
      </c>
      <c r="K209" s="5">
        <f t="shared" si="31"/>
        <v>0</v>
      </c>
      <c r="L209" s="5">
        <f t="shared" si="32"/>
        <v>0</v>
      </c>
      <c r="M209" s="5">
        <f t="shared" si="33"/>
        <v>0</v>
      </c>
      <c r="N209" s="5">
        <f t="shared" si="34"/>
        <v>0</v>
      </c>
      <c r="O209" s="5">
        <f t="shared" si="35"/>
        <v>0</v>
      </c>
      <c r="P209" s="5">
        <f t="shared" si="36"/>
        <v>0</v>
      </c>
      <c r="Q209" s="5">
        <f t="shared" si="37"/>
        <v>0</v>
      </c>
      <c r="R209" s="5">
        <f t="shared" si="38"/>
        <v>0</v>
      </c>
      <c r="S209" s="5">
        <f t="shared" si="39"/>
        <v>0</v>
      </c>
      <c r="T209" s="5">
        <f t="shared" si="40"/>
        <v>0</v>
      </c>
      <c r="U209" s="5">
        <f t="shared" si="41"/>
        <v>0</v>
      </c>
      <c r="V209" s="5">
        <f t="shared" si="29"/>
        <v>0</v>
      </c>
    </row>
    <row r="210" spans="1:22" ht="13.5" customHeight="1" x14ac:dyDescent="0.25">
      <c r="A210" s="594"/>
      <c r="B210" s="377"/>
      <c r="C210" s="377"/>
      <c r="D210" s="443">
        <f t="shared" si="28"/>
        <v>100</v>
      </c>
      <c r="E210" s="580"/>
      <c r="F210" s="580"/>
      <c r="J210" s="26">
        <f t="shared" si="30"/>
        <v>0</v>
      </c>
      <c r="K210" s="5">
        <f t="shared" si="31"/>
        <v>0</v>
      </c>
      <c r="L210" s="5">
        <f t="shared" si="32"/>
        <v>0</v>
      </c>
      <c r="M210" s="5">
        <f t="shared" si="33"/>
        <v>0</v>
      </c>
      <c r="N210" s="5">
        <f t="shared" si="34"/>
        <v>0</v>
      </c>
      <c r="O210" s="5">
        <f t="shared" si="35"/>
        <v>0</v>
      </c>
      <c r="P210" s="5">
        <f t="shared" si="36"/>
        <v>0</v>
      </c>
      <c r="Q210" s="5">
        <f t="shared" si="37"/>
        <v>0</v>
      </c>
      <c r="R210" s="5">
        <f t="shared" si="38"/>
        <v>0</v>
      </c>
      <c r="S210" s="5">
        <f t="shared" si="39"/>
        <v>0</v>
      </c>
      <c r="T210" s="5">
        <f t="shared" si="40"/>
        <v>0</v>
      </c>
      <c r="U210" s="5">
        <f t="shared" si="41"/>
        <v>0</v>
      </c>
      <c r="V210" s="5">
        <f t="shared" si="29"/>
        <v>0</v>
      </c>
    </row>
    <row r="211" spans="1:22" ht="13.5" customHeight="1" x14ac:dyDescent="0.25">
      <c r="A211" s="594"/>
      <c r="B211" s="377"/>
      <c r="C211" s="377"/>
      <c r="D211" s="443">
        <f t="shared" si="28"/>
        <v>100</v>
      </c>
      <c r="E211" s="580"/>
      <c r="F211" s="580"/>
      <c r="J211" s="26">
        <f t="shared" si="30"/>
        <v>0</v>
      </c>
      <c r="K211" s="5">
        <f t="shared" si="31"/>
        <v>0</v>
      </c>
      <c r="L211" s="5">
        <f t="shared" si="32"/>
        <v>0</v>
      </c>
      <c r="M211" s="5">
        <f t="shared" si="33"/>
        <v>0</v>
      </c>
      <c r="N211" s="5">
        <f t="shared" si="34"/>
        <v>0</v>
      </c>
      <c r="O211" s="5">
        <f t="shared" si="35"/>
        <v>0</v>
      </c>
      <c r="P211" s="5">
        <f t="shared" si="36"/>
        <v>0</v>
      </c>
      <c r="Q211" s="5">
        <f t="shared" si="37"/>
        <v>0</v>
      </c>
      <c r="R211" s="5">
        <f t="shared" si="38"/>
        <v>0</v>
      </c>
      <c r="S211" s="5">
        <f t="shared" si="39"/>
        <v>0</v>
      </c>
      <c r="T211" s="5">
        <f t="shared" si="40"/>
        <v>0</v>
      </c>
      <c r="U211" s="5">
        <f t="shared" si="41"/>
        <v>0</v>
      </c>
      <c r="V211" s="5">
        <f t="shared" si="29"/>
        <v>0</v>
      </c>
    </row>
    <row r="212" spans="1:22" ht="13.5" customHeight="1" x14ac:dyDescent="0.25">
      <c r="A212" s="594"/>
      <c r="B212" s="377"/>
      <c r="C212" s="377"/>
      <c r="D212" s="443">
        <f t="shared" si="28"/>
        <v>100</v>
      </c>
      <c r="E212" s="580"/>
      <c r="F212" s="580"/>
      <c r="J212" s="26">
        <f t="shared" si="30"/>
        <v>0</v>
      </c>
      <c r="K212" s="5">
        <f t="shared" si="31"/>
        <v>0</v>
      </c>
      <c r="L212" s="5">
        <f t="shared" si="32"/>
        <v>0</v>
      </c>
      <c r="M212" s="5">
        <f t="shared" si="33"/>
        <v>0</v>
      </c>
      <c r="N212" s="5">
        <f t="shared" si="34"/>
        <v>0</v>
      </c>
      <c r="O212" s="5">
        <f t="shared" si="35"/>
        <v>0</v>
      </c>
      <c r="P212" s="5">
        <f t="shared" si="36"/>
        <v>0</v>
      </c>
      <c r="Q212" s="5">
        <f t="shared" si="37"/>
        <v>0</v>
      </c>
      <c r="R212" s="5">
        <f t="shared" si="38"/>
        <v>0</v>
      </c>
      <c r="S212" s="5">
        <f t="shared" si="39"/>
        <v>0</v>
      </c>
      <c r="T212" s="5">
        <f t="shared" si="40"/>
        <v>0</v>
      </c>
      <c r="U212" s="5">
        <f t="shared" si="41"/>
        <v>0</v>
      </c>
      <c r="V212" s="5">
        <f t="shared" si="29"/>
        <v>0</v>
      </c>
    </row>
    <row r="213" spans="1:22" ht="13.5" customHeight="1" x14ac:dyDescent="0.25">
      <c r="A213" s="594"/>
      <c r="B213" s="377"/>
      <c r="C213" s="377"/>
      <c r="D213" s="443">
        <f t="shared" si="28"/>
        <v>100</v>
      </c>
      <c r="E213" s="580"/>
      <c r="F213" s="580"/>
      <c r="J213" s="26">
        <f t="shared" si="30"/>
        <v>0</v>
      </c>
      <c r="K213" s="5">
        <f t="shared" si="31"/>
        <v>0</v>
      </c>
      <c r="L213" s="5">
        <f t="shared" si="32"/>
        <v>0</v>
      </c>
      <c r="M213" s="5">
        <f t="shared" si="33"/>
        <v>0</v>
      </c>
      <c r="N213" s="5">
        <f t="shared" si="34"/>
        <v>0</v>
      </c>
      <c r="O213" s="5">
        <f t="shared" si="35"/>
        <v>0</v>
      </c>
      <c r="P213" s="5">
        <f t="shared" si="36"/>
        <v>0</v>
      </c>
      <c r="Q213" s="5">
        <f t="shared" si="37"/>
        <v>0</v>
      </c>
      <c r="R213" s="5">
        <f t="shared" si="38"/>
        <v>0</v>
      </c>
      <c r="S213" s="5">
        <f t="shared" si="39"/>
        <v>0</v>
      </c>
      <c r="T213" s="5">
        <f t="shared" si="40"/>
        <v>0</v>
      </c>
      <c r="U213" s="5">
        <f t="shared" si="41"/>
        <v>0</v>
      </c>
      <c r="V213" s="5">
        <f t="shared" si="29"/>
        <v>0</v>
      </c>
    </row>
    <row r="214" spans="1:22" ht="13.5" customHeight="1" x14ac:dyDescent="0.25">
      <c r="A214" s="594"/>
      <c r="B214" s="377"/>
      <c r="C214" s="377"/>
      <c r="D214" s="443">
        <f t="shared" si="28"/>
        <v>100</v>
      </c>
      <c r="E214" s="580"/>
      <c r="F214" s="580"/>
      <c r="J214" s="26">
        <f t="shared" si="30"/>
        <v>0</v>
      </c>
      <c r="K214" s="5">
        <f t="shared" si="31"/>
        <v>0</v>
      </c>
      <c r="L214" s="5">
        <f t="shared" si="32"/>
        <v>0</v>
      </c>
      <c r="M214" s="5">
        <f t="shared" si="33"/>
        <v>0</v>
      </c>
      <c r="N214" s="5">
        <f t="shared" si="34"/>
        <v>0</v>
      </c>
      <c r="O214" s="5">
        <f t="shared" si="35"/>
        <v>0</v>
      </c>
      <c r="P214" s="5">
        <f t="shared" si="36"/>
        <v>0</v>
      </c>
      <c r="Q214" s="5">
        <f t="shared" si="37"/>
        <v>0</v>
      </c>
      <c r="R214" s="5">
        <f t="shared" si="38"/>
        <v>0</v>
      </c>
      <c r="S214" s="5">
        <f t="shared" si="39"/>
        <v>0</v>
      </c>
      <c r="T214" s="5">
        <f t="shared" si="40"/>
        <v>0</v>
      </c>
      <c r="U214" s="5">
        <f t="shared" si="41"/>
        <v>0</v>
      </c>
      <c r="V214" s="5">
        <f t="shared" si="29"/>
        <v>0</v>
      </c>
    </row>
    <row r="215" spans="1:22" ht="13.5" customHeight="1" x14ac:dyDescent="0.25">
      <c r="A215" s="594"/>
      <c r="B215" s="377"/>
      <c r="C215" s="377"/>
      <c r="D215" s="443">
        <f t="shared" si="28"/>
        <v>100</v>
      </c>
      <c r="E215" s="580"/>
      <c r="F215" s="580"/>
      <c r="J215" s="26">
        <f t="shared" si="30"/>
        <v>0</v>
      </c>
      <c r="K215" s="5">
        <f t="shared" si="31"/>
        <v>0</v>
      </c>
      <c r="L215" s="5">
        <f t="shared" si="32"/>
        <v>0</v>
      </c>
      <c r="M215" s="5">
        <f t="shared" si="33"/>
        <v>0</v>
      </c>
      <c r="N215" s="5">
        <f t="shared" si="34"/>
        <v>0</v>
      </c>
      <c r="O215" s="5">
        <f t="shared" si="35"/>
        <v>0</v>
      </c>
      <c r="P215" s="5">
        <f t="shared" si="36"/>
        <v>0</v>
      </c>
      <c r="Q215" s="5">
        <f t="shared" si="37"/>
        <v>0</v>
      </c>
      <c r="R215" s="5">
        <f t="shared" si="38"/>
        <v>0</v>
      </c>
      <c r="S215" s="5">
        <f t="shared" si="39"/>
        <v>0</v>
      </c>
      <c r="T215" s="5">
        <f t="shared" si="40"/>
        <v>0</v>
      </c>
      <c r="U215" s="5">
        <f t="shared" si="41"/>
        <v>0</v>
      </c>
      <c r="V215" s="5">
        <f t="shared" si="29"/>
        <v>0</v>
      </c>
    </row>
    <row r="216" spans="1:22" ht="13.5" customHeight="1" x14ac:dyDescent="0.25">
      <c r="A216" s="594"/>
      <c r="B216" s="377"/>
      <c r="C216" s="377"/>
      <c r="D216" s="443">
        <f t="shared" si="28"/>
        <v>100</v>
      </c>
      <c r="E216" s="580"/>
      <c r="F216" s="580"/>
      <c r="J216" s="26">
        <f t="shared" si="30"/>
        <v>0</v>
      </c>
      <c r="K216" s="5">
        <f t="shared" si="31"/>
        <v>0</v>
      </c>
      <c r="L216" s="5">
        <f t="shared" si="32"/>
        <v>0</v>
      </c>
      <c r="M216" s="5">
        <f t="shared" si="33"/>
        <v>0</v>
      </c>
      <c r="N216" s="5">
        <f t="shared" si="34"/>
        <v>0</v>
      </c>
      <c r="O216" s="5">
        <f t="shared" si="35"/>
        <v>0</v>
      </c>
      <c r="P216" s="5">
        <f t="shared" si="36"/>
        <v>0</v>
      </c>
      <c r="Q216" s="5">
        <f t="shared" si="37"/>
        <v>0</v>
      </c>
      <c r="R216" s="5">
        <f t="shared" si="38"/>
        <v>0</v>
      </c>
      <c r="S216" s="5">
        <f t="shared" si="39"/>
        <v>0</v>
      </c>
      <c r="T216" s="5">
        <f t="shared" si="40"/>
        <v>0</v>
      </c>
      <c r="U216" s="5">
        <f t="shared" si="41"/>
        <v>0</v>
      </c>
      <c r="V216" s="5">
        <f t="shared" si="29"/>
        <v>0</v>
      </c>
    </row>
    <row r="217" spans="1:22" ht="13.5" customHeight="1" x14ac:dyDescent="0.25">
      <c r="A217" s="594"/>
      <c r="B217" s="377"/>
      <c r="C217" s="377"/>
      <c r="D217" s="443">
        <f t="shared" si="28"/>
        <v>100</v>
      </c>
      <c r="E217" s="580"/>
      <c r="F217" s="580"/>
      <c r="J217" s="26">
        <f t="shared" si="30"/>
        <v>0</v>
      </c>
      <c r="K217" s="5">
        <f t="shared" si="31"/>
        <v>0</v>
      </c>
      <c r="L217" s="5">
        <f t="shared" si="32"/>
        <v>0</v>
      </c>
      <c r="M217" s="5">
        <f t="shared" si="33"/>
        <v>0</v>
      </c>
      <c r="N217" s="5">
        <f t="shared" si="34"/>
        <v>0</v>
      </c>
      <c r="O217" s="5">
        <f t="shared" si="35"/>
        <v>0</v>
      </c>
      <c r="P217" s="5">
        <f t="shared" si="36"/>
        <v>0</v>
      </c>
      <c r="Q217" s="5">
        <f t="shared" si="37"/>
        <v>0</v>
      </c>
      <c r="R217" s="5">
        <f t="shared" si="38"/>
        <v>0</v>
      </c>
      <c r="S217" s="5">
        <f t="shared" si="39"/>
        <v>0</v>
      </c>
      <c r="T217" s="5">
        <f t="shared" si="40"/>
        <v>0</v>
      </c>
      <c r="U217" s="5">
        <f t="shared" si="41"/>
        <v>0</v>
      </c>
      <c r="V217" s="5">
        <f t="shared" si="29"/>
        <v>0</v>
      </c>
    </row>
    <row r="218" spans="1:22" ht="13.5" customHeight="1" x14ac:dyDescent="0.25">
      <c r="A218" s="594"/>
      <c r="B218" s="377"/>
      <c r="C218" s="377"/>
      <c r="D218" s="443">
        <f t="shared" ref="D218:D281" si="42">B218-C218+D217</f>
        <v>100</v>
      </c>
      <c r="E218" s="580"/>
      <c r="F218" s="580"/>
      <c r="J218" s="26">
        <f t="shared" si="30"/>
        <v>0</v>
      </c>
      <c r="K218" s="5">
        <f t="shared" si="31"/>
        <v>0</v>
      </c>
      <c r="L218" s="5">
        <f t="shared" si="32"/>
        <v>0</v>
      </c>
      <c r="M218" s="5">
        <f t="shared" si="33"/>
        <v>0</v>
      </c>
      <c r="N218" s="5">
        <f t="shared" si="34"/>
        <v>0</v>
      </c>
      <c r="O218" s="5">
        <f t="shared" si="35"/>
        <v>0</v>
      </c>
      <c r="P218" s="5">
        <f t="shared" si="36"/>
        <v>0</v>
      </c>
      <c r="Q218" s="5">
        <f t="shared" si="37"/>
        <v>0</v>
      </c>
      <c r="R218" s="5">
        <f t="shared" si="38"/>
        <v>0</v>
      </c>
      <c r="S218" s="5">
        <f t="shared" si="39"/>
        <v>0</v>
      </c>
      <c r="T218" s="5">
        <f t="shared" si="40"/>
        <v>0</v>
      </c>
      <c r="U218" s="5">
        <f t="shared" si="41"/>
        <v>0</v>
      </c>
      <c r="V218" s="5">
        <f t="shared" ref="V218:V281" si="43">IF(E218="Catch Up XP",C218,0)</f>
        <v>0</v>
      </c>
    </row>
    <row r="219" spans="1:22" ht="13.5" customHeight="1" x14ac:dyDescent="0.25">
      <c r="A219" s="594"/>
      <c r="B219" s="377"/>
      <c r="C219" s="377"/>
      <c r="D219" s="443">
        <f t="shared" si="42"/>
        <v>100</v>
      </c>
      <c r="E219" s="580"/>
      <c r="F219" s="580"/>
      <c r="J219" s="26">
        <f t="shared" ref="J219:J282" si="44">IF(E219="Attributes",C219,0)</f>
        <v>0</v>
      </c>
      <c r="K219" s="5">
        <f t="shared" ref="K219:K282" si="45">IF(E219="Skills",C219,0)</f>
        <v>0</v>
      </c>
      <c r="L219" s="5">
        <f t="shared" ref="L219:L282" si="46">IF(E219="Specialization",C219,0)</f>
        <v>0</v>
      </c>
      <c r="M219" s="5">
        <f t="shared" ref="M219:M282" si="47">IF(E219="Blood Potency",C219,0)</f>
        <v>0</v>
      </c>
      <c r="N219" s="5">
        <f t="shared" ref="N219:N282" si="48">IF(E219="Merits",C219,0)</f>
        <v>0</v>
      </c>
      <c r="O219" s="5">
        <f t="shared" ref="O219:O282" si="49">IF(E219="Lost Merits",C219,0)</f>
        <v>0</v>
      </c>
      <c r="P219" s="5">
        <f t="shared" ref="P219:P282" si="50">IF(E219="Disciplines",C219,0)</f>
        <v>0</v>
      </c>
      <c r="Q219" s="5">
        <f t="shared" ref="Q219:Q282" si="51">IF(E219="Rituals",C219,0)</f>
        <v>0</v>
      </c>
      <c r="R219" s="5">
        <f t="shared" ref="R219:R282" si="52">IF(E219="Devotions",C219,0)</f>
        <v>0</v>
      </c>
      <c r="S219" s="5">
        <f t="shared" ref="S219:S282" si="53">IF(E219="Willpower",C219,0)</f>
        <v>0</v>
      </c>
      <c r="T219" s="5">
        <f t="shared" ref="T219:T282" si="54">IF(E219="Humanity",C219,0)</f>
        <v>0</v>
      </c>
      <c r="U219" s="5">
        <f t="shared" ref="U219:U282" si="55">IF(E219="Oaths",C219,0)</f>
        <v>0</v>
      </c>
      <c r="V219" s="5">
        <f t="shared" si="43"/>
        <v>0</v>
      </c>
    </row>
    <row r="220" spans="1:22" ht="13.5" customHeight="1" x14ac:dyDescent="0.25">
      <c r="A220" s="594"/>
      <c r="B220" s="377"/>
      <c r="C220" s="377"/>
      <c r="D220" s="443">
        <f t="shared" si="42"/>
        <v>100</v>
      </c>
      <c r="E220" s="580"/>
      <c r="F220" s="580"/>
      <c r="J220" s="26">
        <f t="shared" si="44"/>
        <v>0</v>
      </c>
      <c r="K220" s="5">
        <f t="shared" si="45"/>
        <v>0</v>
      </c>
      <c r="L220" s="5">
        <f t="shared" si="46"/>
        <v>0</v>
      </c>
      <c r="M220" s="5">
        <f t="shared" si="47"/>
        <v>0</v>
      </c>
      <c r="N220" s="5">
        <f t="shared" si="48"/>
        <v>0</v>
      </c>
      <c r="O220" s="5">
        <f t="shared" si="49"/>
        <v>0</v>
      </c>
      <c r="P220" s="5">
        <f t="shared" si="50"/>
        <v>0</v>
      </c>
      <c r="Q220" s="5">
        <f t="shared" si="51"/>
        <v>0</v>
      </c>
      <c r="R220" s="5">
        <f t="shared" si="52"/>
        <v>0</v>
      </c>
      <c r="S220" s="5">
        <f t="shared" si="53"/>
        <v>0</v>
      </c>
      <c r="T220" s="5">
        <f t="shared" si="54"/>
        <v>0</v>
      </c>
      <c r="U220" s="5">
        <f t="shared" si="55"/>
        <v>0</v>
      </c>
      <c r="V220" s="5">
        <f t="shared" si="43"/>
        <v>0</v>
      </c>
    </row>
    <row r="221" spans="1:22" ht="13.5" customHeight="1" x14ac:dyDescent="0.25">
      <c r="A221" s="594"/>
      <c r="B221" s="377"/>
      <c r="C221" s="377"/>
      <c r="D221" s="443">
        <f t="shared" si="42"/>
        <v>100</v>
      </c>
      <c r="E221" s="580"/>
      <c r="F221" s="580"/>
      <c r="J221" s="26">
        <f t="shared" si="44"/>
        <v>0</v>
      </c>
      <c r="K221" s="5">
        <f t="shared" si="45"/>
        <v>0</v>
      </c>
      <c r="L221" s="5">
        <f t="shared" si="46"/>
        <v>0</v>
      </c>
      <c r="M221" s="5">
        <f t="shared" si="47"/>
        <v>0</v>
      </c>
      <c r="N221" s="5">
        <f t="shared" si="48"/>
        <v>0</v>
      </c>
      <c r="O221" s="5">
        <f t="shared" si="49"/>
        <v>0</v>
      </c>
      <c r="P221" s="5">
        <f t="shared" si="50"/>
        <v>0</v>
      </c>
      <c r="Q221" s="5">
        <f t="shared" si="51"/>
        <v>0</v>
      </c>
      <c r="R221" s="5">
        <f t="shared" si="52"/>
        <v>0</v>
      </c>
      <c r="S221" s="5">
        <f t="shared" si="53"/>
        <v>0</v>
      </c>
      <c r="T221" s="5">
        <f t="shared" si="54"/>
        <v>0</v>
      </c>
      <c r="U221" s="5">
        <f t="shared" si="55"/>
        <v>0</v>
      </c>
      <c r="V221" s="5">
        <f t="shared" si="43"/>
        <v>0</v>
      </c>
    </row>
    <row r="222" spans="1:22" ht="13.5" customHeight="1" x14ac:dyDescent="0.25">
      <c r="A222" s="594"/>
      <c r="B222" s="377"/>
      <c r="C222" s="377"/>
      <c r="D222" s="443">
        <f t="shared" si="42"/>
        <v>100</v>
      </c>
      <c r="E222" s="580"/>
      <c r="F222" s="580"/>
      <c r="J222" s="26">
        <f t="shared" si="44"/>
        <v>0</v>
      </c>
      <c r="K222" s="5">
        <f t="shared" si="45"/>
        <v>0</v>
      </c>
      <c r="L222" s="5">
        <f t="shared" si="46"/>
        <v>0</v>
      </c>
      <c r="M222" s="5">
        <f t="shared" si="47"/>
        <v>0</v>
      </c>
      <c r="N222" s="5">
        <f t="shared" si="48"/>
        <v>0</v>
      </c>
      <c r="O222" s="5">
        <f t="shared" si="49"/>
        <v>0</v>
      </c>
      <c r="P222" s="5">
        <f t="shared" si="50"/>
        <v>0</v>
      </c>
      <c r="Q222" s="5">
        <f t="shared" si="51"/>
        <v>0</v>
      </c>
      <c r="R222" s="5">
        <f t="shared" si="52"/>
        <v>0</v>
      </c>
      <c r="S222" s="5">
        <f t="shared" si="53"/>
        <v>0</v>
      </c>
      <c r="T222" s="5">
        <f t="shared" si="54"/>
        <v>0</v>
      </c>
      <c r="U222" s="5">
        <f t="shared" si="55"/>
        <v>0</v>
      </c>
      <c r="V222" s="5">
        <f t="shared" si="43"/>
        <v>0</v>
      </c>
    </row>
    <row r="223" spans="1:22" ht="13.5" customHeight="1" x14ac:dyDescent="0.25">
      <c r="A223" s="594"/>
      <c r="B223" s="377"/>
      <c r="C223" s="377"/>
      <c r="D223" s="443">
        <f t="shared" si="42"/>
        <v>100</v>
      </c>
      <c r="E223" s="580"/>
      <c r="F223" s="580"/>
      <c r="J223" s="26">
        <f t="shared" si="44"/>
        <v>0</v>
      </c>
      <c r="K223" s="5">
        <f t="shared" si="45"/>
        <v>0</v>
      </c>
      <c r="L223" s="5">
        <f t="shared" si="46"/>
        <v>0</v>
      </c>
      <c r="M223" s="5">
        <f t="shared" si="47"/>
        <v>0</v>
      </c>
      <c r="N223" s="5">
        <f t="shared" si="48"/>
        <v>0</v>
      </c>
      <c r="O223" s="5">
        <f t="shared" si="49"/>
        <v>0</v>
      </c>
      <c r="P223" s="5">
        <f t="shared" si="50"/>
        <v>0</v>
      </c>
      <c r="Q223" s="5">
        <f t="shared" si="51"/>
        <v>0</v>
      </c>
      <c r="R223" s="5">
        <f t="shared" si="52"/>
        <v>0</v>
      </c>
      <c r="S223" s="5">
        <f t="shared" si="53"/>
        <v>0</v>
      </c>
      <c r="T223" s="5">
        <f t="shared" si="54"/>
        <v>0</v>
      </c>
      <c r="U223" s="5">
        <f t="shared" si="55"/>
        <v>0</v>
      </c>
      <c r="V223" s="5">
        <f t="shared" si="43"/>
        <v>0</v>
      </c>
    </row>
    <row r="224" spans="1:22" ht="13.5" customHeight="1" x14ac:dyDescent="0.25">
      <c r="A224" s="594"/>
      <c r="B224" s="377"/>
      <c r="C224" s="377"/>
      <c r="D224" s="443">
        <f t="shared" si="42"/>
        <v>100</v>
      </c>
      <c r="E224" s="580"/>
      <c r="F224" s="580"/>
      <c r="J224" s="26">
        <f t="shared" si="44"/>
        <v>0</v>
      </c>
      <c r="K224" s="5">
        <f t="shared" si="45"/>
        <v>0</v>
      </c>
      <c r="L224" s="5">
        <f t="shared" si="46"/>
        <v>0</v>
      </c>
      <c r="M224" s="5">
        <f t="shared" si="47"/>
        <v>0</v>
      </c>
      <c r="N224" s="5">
        <f t="shared" si="48"/>
        <v>0</v>
      </c>
      <c r="O224" s="5">
        <f t="shared" si="49"/>
        <v>0</v>
      </c>
      <c r="P224" s="5">
        <f t="shared" si="50"/>
        <v>0</v>
      </c>
      <c r="Q224" s="5">
        <f t="shared" si="51"/>
        <v>0</v>
      </c>
      <c r="R224" s="5">
        <f t="shared" si="52"/>
        <v>0</v>
      </c>
      <c r="S224" s="5">
        <f t="shared" si="53"/>
        <v>0</v>
      </c>
      <c r="T224" s="5">
        <f t="shared" si="54"/>
        <v>0</v>
      </c>
      <c r="U224" s="5">
        <f t="shared" si="55"/>
        <v>0</v>
      </c>
      <c r="V224" s="5">
        <f t="shared" si="43"/>
        <v>0</v>
      </c>
    </row>
    <row r="225" spans="1:22" ht="13.5" customHeight="1" x14ac:dyDescent="0.25">
      <c r="A225" s="594"/>
      <c r="B225" s="377"/>
      <c r="C225" s="377"/>
      <c r="D225" s="443">
        <f t="shared" si="42"/>
        <v>100</v>
      </c>
      <c r="E225" s="580"/>
      <c r="F225" s="580"/>
      <c r="J225" s="26">
        <f t="shared" si="44"/>
        <v>0</v>
      </c>
      <c r="K225" s="5">
        <f t="shared" si="45"/>
        <v>0</v>
      </c>
      <c r="L225" s="5">
        <f t="shared" si="46"/>
        <v>0</v>
      </c>
      <c r="M225" s="5">
        <f t="shared" si="47"/>
        <v>0</v>
      </c>
      <c r="N225" s="5">
        <f t="shared" si="48"/>
        <v>0</v>
      </c>
      <c r="O225" s="5">
        <f t="shared" si="49"/>
        <v>0</v>
      </c>
      <c r="P225" s="5">
        <f t="shared" si="50"/>
        <v>0</v>
      </c>
      <c r="Q225" s="5">
        <f t="shared" si="51"/>
        <v>0</v>
      </c>
      <c r="R225" s="5">
        <f t="shared" si="52"/>
        <v>0</v>
      </c>
      <c r="S225" s="5">
        <f t="shared" si="53"/>
        <v>0</v>
      </c>
      <c r="T225" s="5">
        <f t="shared" si="54"/>
        <v>0</v>
      </c>
      <c r="U225" s="5">
        <f t="shared" si="55"/>
        <v>0</v>
      </c>
      <c r="V225" s="5">
        <f t="shared" si="43"/>
        <v>0</v>
      </c>
    </row>
    <row r="226" spans="1:22" ht="13.5" customHeight="1" x14ac:dyDescent="0.25">
      <c r="A226" s="594"/>
      <c r="B226" s="377"/>
      <c r="C226" s="377"/>
      <c r="D226" s="443">
        <f t="shared" si="42"/>
        <v>100</v>
      </c>
      <c r="E226" s="580"/>
      <c r="F226" s="580"/>
      <c r="J226" s="26">
        <f t="shared" si="44"/>
        <v>0</v>
      </c>
      <c r="K226" s="5">
        <f t="shared" si="45"/>
        <v>0</v>
      </c>
      <c r="L226" s="5">
        <f t="shared" si="46"/>
        <v>0</v>
      </c>
      <c r="M226" s="5">
        <f t="shared" si="47"/>
        <v>0</v>
      </c>
      <c r="N226" s="5">
        <f t="shared" si="48"/>
        <v>0</v>
      </c>
      <c r="O226" s="5">
        <f t="shared" si="49"/>
        <v>0</v>
      </c>
      <c r="P226" s="5">
        <f t="shared" si="50"/>
        <v>0</v>
      </c>
      <c r="Q226" s="5">
        <f t="shared" si="51"/>
        <v>0</v>
      </c>
      <c r="R226" s="5">
        <f t="shared" si="52"/>
        <v>0</v>
      </c>
      <c r="S226" s="5">
        <f t="shared" si="53"/>
        <v>0</v>
      </c>
      <c r="T226" s="5">
        <f t="shared" si="54"/>
        <v>0</v>
      </c>
      <c r="U226" s="5">
        <f t="shared" si="55"/>
        <v>0</v>
      </c>
      <c r="V226" s="5">
        <f t="shared" si="43"/>
        <v>0</v>
      </c>
    </row>
    <row r="227" spans="1:22" ht="13.5" customHeight="1" x14ac:dyDescent="0.25">
      <c r="A227" s="594"/>
      <c r="B227" s="377"/>
      <c r="C227" s="377"/>
      <c r="D227" s="443">
        <f t="shared" si="42"/>
        <v>100</v>
      </c>
      <c r="E227" s="580"/>
      <c r="F227" s="580"/>
      <c r="J227" s="26">
        <f t="shared" si="44"/>
        <v>0</v>
      </c>
      <c r="K227" s="5">
        <f t="shared" si="45"/>
        <v>0</v>
      </c>
      <c r="L227" s="5">
        <f t="shared" si="46"/>
        <v>0</v>
      </c>
      <c r="M227" s="5">
        <f t="shared" si="47"/>
        <v>0</v>
      </c>
      <c r="N227" s="5">
        <f t="shared" si="48"/>
        <v>0</v>
      </c>
      <c r="O227" s="5">
        <f t="shared" si="49"/>
        <v>0</v>
      </c>
      <c r="P227" s="5">
        <f t="shared" si="50"/>
        <v>0</v>
      </c>
      <c r="Q227" s="5">
        <f t="shared" si="51"/>
        <v>0</v>
      </c>
      <c r="R227" s="5">
        <f t="shared" si="52"/>
        <v>0</v>
      </c>
      <c r="S227" s="5">
        <f t="shared" si="53"/>
        <v>0</v>
      </c>
      <c r="T227" s="5">
        <f t="shared" si="54"/>
        <v>0</v>
      </c>
      <c r="U227" s="5">
        <f t="shared" si="55"/>
        <v>0</v>
      </c>
      <c r="V227" s="5">
        <f t="shared" si="43"/>
        <v>0</v>
      </c>
    </row>
    <row r="228" spans="1:22" ht="13.5" customHeight="1" x14ac:dyDescent="0.25">
      <c r="A228" s="594"/>
      <c r="B228" s="377"/>
      <c r="C228" s="377"/>
      <c r="D228" s="443">
        <f t="shared" si="42"/>
        <v>100</v>
      </c>
      <c r="E228" s="580"/>
      <c r="F228" s="580"/>
      <c r="J228" s="26">
        <f t="shared" si="44"/>
        <v>0</v>
      </c>
      <c r="K228" s="5">
        <f t="shared" si="45"/>
        <v>0</v>
      </c>
      <c r="L228" s="5">
        <f t="shared" si="46"/>
        <v>0</v>
      </c>
      <c r="M228" s="5">
        <f t="shared" si="47"/>
        <v>0</v>
      </c>
      <c r="N228" s="5">
        <f t="shared" si="48"/>
        <v>0</v>
      </c>
      <c r="O228" s="5">
        <f t="shared" si="49"/>
        <v>0</v>
      </c>
      <c r="P228" s="5">
        <f t="shared" si="50"/>
        <v>0</v>
      </c>
      <c r="Q228" s="5">
        <f t="shared" si="51"/>
        <v>0</v>
      </c>
      <c r="R228" s="5">
        <f t="shared" si="52"/>
        <v>0</v>
      </c>
      <c r="S228" s="5">
        <f t="shared" si="53"/>
        <v>0</v>
      </c>
      <c r="T228" s="5">
        <f t="shared" si="54"/>
        <v>0</v>
      </c>
      <c r="U228" s="5">
        <f t="shared" si="55"/>
        <v>0</v>
      </c>
      <c r="V228" s="5">
        <f t="shared" si="43"/>
        <v>0</v>
      </c>
    </row>
    <row r="229" spans="1:22" ht="13.5" customHeight="1" x14ac:dyDescent="0.25">
      <c r="A229" s="594"/>
      <c r="B229" s="377"/>
      <c r="C229" s="377"/>
      <c r="D229" s="443">
        <f t="shared" si="42"/>
        <v>100</v>
      </c>
      <c r="E229" s="580"/>
      <c r="F229" s="580"/>
      <c r="J229" s="26">
        <f t="shared" si="44"/>
        <v>0</v>
      </c>
      <c r="K229" s="5">
        <f t="shared" si="45"/>
        <v>0</v>
      </c>
      <c r="L229" s="5">
        <f t="shared" si="46"/>
        <v>0</v>
      </c>
      <c r="M229" s="5">
        <f t="shared" si="47"/>
        <v>0</v>
      </c>
      <c r="N229" s="5">
        <f t="shared" si="48"/>
        <v>0</v>
      </c>
      <c r="O229" s="5">
        <f t="shared" si="49"/>
        <v>0</v>
      </c>
      <c r="P229" s="5">
        <f t="shared" si="50"/>
        <v>0</v>
      </c>
      <c r="Q229" s="5">
        <f t="shared" si="51"/>
        <v>0</v>
      </c>
      <c r="R229" s="5">
        <f t="shared" si="52"/>
        <v>0</v>
      </c>
      <c r="S229" s="5">
        <f t="shared" si="53"/>
        <v>0</v>
      </c>
      <c r="T229" s="5">
        <f t="shared" si="54"/>
        <v>0</v>
      </c>
      <c r="U229" s="5">
        <f t="shared" si="55"/>
        <v>0</v>
      </c>
      <c r="V229" s="5">
        <f t="shared" si="43"/>
        <v>0</v>
      </c>
    </row>
    <row r="230" spans="1:22" ht="13.5" customHeight="1" x14ac:dyDescent="0.25">
      <c r="A230" s="594"/>
      <c r="B230" s="377"/>
      <c r="C230" s="377"/>
      <c r="D230" s="443">
        <f t="shared" si="42"/>
        <v>100</v>
      </c>
      <c r="E230" s="580"/>
      <c r="F230" s="580"/>
      <c r="J230" s="26">
        <f t="shared" si="44"/>
        <v>0</v>
      </c>
      <c r="K230" s="5">
        <f t="shared" si="45"/>
        <v>0</v>
      </c>
      <c r="L230" s="5">
        <f t="shared" si="46"/>
        <v>0</v>
      </c>
      <c r="M230" s="5">
        <f t="shared" si="47"/>
        <v>0</v>
      </c>
      <c r="N230" s="5">
        <f t="shared" si="48"/>
        <v>0</v>
      </c>
      <c r="O230" s="5">
        <f t="shared" si="49"/>
        <v>0</v>
      </c>
      <c r="P230" s="5">
        <f t="shared" si="50"/>
        <v>0</v>
      </c>
      <c r="Q230" s="5">
        <f t="shared" si="51"/>
        <v>0</v>
      </c>
      <c r="R230" s="5">
        <f t="shared" si="52"/>
        <v>0</v>
      </c>
      <c r="S230" s="5">
        <f t="shared" si="53"/>
        <v>0</v>
      </c>
      <c r="T230" s="5">
        <f t="shared" si="54"/>
        <v>0</v>
      </c>
      <c r="U230" s="5">
        <f t="shared" si="55"/>
        <v>0</v>
      </c>
      <c r="V230" s="5">
        <f t="shared" si="43"/>
        <v>0</v>
      </c>
    </row>
    <row r="231" spans="1:22" ht="13.5" customHeight="1" x14ac:dyDescent="0.25">
      <c r="A231" s="594"/>
      <c r="B231" s="377"/>
      <c r="C231" s="377"/>
      <c r="D231" s="443">
        <f t="shared" si="42"/>
        <v>100</v>
      </c>
      <c r="E231" s="580"/>
      <c r="F231" s="580"/>
      <c r="J231" s="26">
        <f t="shared" si="44"/>
        <v>0</v>
      </c>
      <c r="K231" s="5">
        <f t="shared" si="45"/>
        <v>0</v>
      </c>
      <c r="L231" s="5">
        <f t="shared" si="46"/>
        <v>0</v>
      </c>
      <c r="M231" s="5">
        <f t="shared" si="47"/>
        <v>0</v>
      </c>
      <c r="N231" s="5">
        <f t="shared" si="48"/>
        <v>0</v>
      </c>
      <c r="O231" s="5">
        <f t="shared" si="49"/>
        <v>0</v>
      </c>
      <c r="P231" s="5">
        <f t="shared" si="50"/>
        <v>0</v>
      </c>
      <c r="Q231" s="5">
        <f t="shared" si="51"/>
        <v>0</v>
      </c>
      <c r="R231" s="5">
        <f t="shared" si="52"/>
        <v>0</v>
      </c>
      <c r="S231" s="5">
        <f t="shared" si="53"/>
        <v>0</v>
      </c>
      <c r="T231" s="5">
        <f t="shared" si="54"/>
        <v>0</v>
      </c>
      <c r="U231" s="5">
        <f t="shared" si="55"/>
        <v>0</v>
      </c>
      <c r="V231" s="5">
        <f t="shared" si="43"/>
        <v>0</v>
      </c>
    </row>
    <row r="232" spans="1:22" ht="13.5" customHeight="1" x14ac:dyDescent="0.25">
      <c r="A232" s="594"/>
      <c r="B232" s="377"/>
      <c r="C232" s="377"/>
      <c r="D232" s="443">
        <f t="shared" si="42"/>
        <v>100</v>
      </c>
      <c r="E232" s="580"/>
      <c r="F232" s="580"/>
      <c r="J232" s="26">
        <f t="shared" si="44"/>
        <v>0</v>
      </c>
      <c r="K232" s="5">
        <f t="shared" si="45"/>
        <v>0</v>
      </c>
      <c r="L232" s="5">
        <f t="shared" si="46"/>
        <v>0</v>
      </c>
      <c r="M232" s="5">
        <f t="shared" si="47"/>
        <v>0</v>
      </c>
      <c r="N232" s="5">
        <f t="shared" si="48"/>
        <v>0</v>
      </c>
      <c r="O232" s="5">
        <f t="shared" si="49"/>
        <v>0</v>
      </c>
      <c r="P232" s="5">
        <f t="shared" si="50"/>
        <v>0</v>
      </c>
      <c r="Q232" s="5">
        <f t="shared" si="51"/>
        <v>0</v>
      </c>
      <c r="R232" s="5">
        <f t="shared" si="52"/>
        <v>0</v>
      </c>
      <c r="S232" s="5">
        <f t="shared" si="53"/>
        <v>0</v>
      </c>
      <c r="T232" s="5">
        <f t="shared" si="54"/>
        <v>0</v>
      </c>
      <c r="U232" s="5">
        <f t="shared" si="55"/>
        <v>0</v>
      </c>
      <c r="V232" s="5">
        <f t="shared" si="43"/>
        <v>0</v>
      </c>
    </row>
    <row r="233" spans="1:22" ht="13.5" customHeight="1" x14ac:dyDescent="0.25">
      <c r="A233" s="594"/>
      <c r="B233" s="377"/>
      <c r="C233" s="377"/>
      <c r="D233" s="443">
        <f t="shared" si="42"/>
        <v>100</v>
      </c>
      <c r="E233" s="580"/>
      <c r="F233" s="580"/>
      <c r="J233" s="26">
        <f t="shared" si="44"/>
        <v>0</v>
      </c>
      <c r="K233" s="5">
        <f t="shared" si="45"/>
        <v>0</v>
      </c>
      <c r="L233" s="5">
        <f t="shared" si="46"/>
        <v>0</v>
      </c>
      <c r="M233" s="5">
        <f t="shared" si="47"/>
        <v>0</v>
      </c>
      <c r="N233" s="5">
        <f t="shared" si="48"/>
        <v>0</v>
      </c>
      <c r="O233" s="5">
        <f t="shared" si="49"/>
        <v>0</v>
      </c>
      <c r="P233" s="5">
        <f t="shared" si="50"/>
        <v>0</v>
      </c>
      <c r="Q233" s="5">
        <f t="shared" si="51"/>
        <v>0</v>
      </c>
      <c r="R233" s="5">
        <f t="shared" si="52"/>
        <v>0</v>
      </c>
      <c r="S233" s="5">
        <f t="shared" si="53"/>
        <v>0</v>
      </c>
      <c r="T233" s="5">
        <f t="shared" si="54"/>
        <v>0</v>
      </c>
      <c r="U233" s="5">
        <f t="shared" si="55"/>
        <v>0</v>
      </c>
      <c r="V233" s="5">
        <f t="shared" si="43"/>
        <v>0</v>
      </c>
    </row>
    <row r="234" spans="1:22" ht="13.5" customHeight="1" x14ac:dyDescent="0.25">
      <c r="A234" s="594"/>
      <c r="B234" s="377"/>
      <c r="C234" s="377"/>
      <c r="D234" s="443">
        <f t="shared" si="42"/>
        <v>100</v>
      </c>
      <c r="E234" s="580"/>
      <c r="F234" s="580"/>
      <c r="J234" s="26">
        <f t="shared" si="44"/>
        <v>0</v>
      </c>
      <c r="K234" s="5">
        <f t="shared" si="45"/>
        <v>0</v>
      </c>
      <c r="L234" s="5">
        <f t="shared" si="46"/>
        <v>0</v>
      </c>
      <c r="M234" s="5">
        <f t="shared" si="47"/>
        <v>0</v>
      </c>
      <c r="N234" s="5">
        <f t="shared" si="48"/>
        <v>0</v>
      </c>
      <c r="O234" s="5">
        <f t="shared" si="49"/>
        <v>0</v>
      </c>
      <c r="P234" s="5">
        <f t="shared" si="50"/>
        <v>0</v>
      </c>
      <c r="Q234" s="5">
        <f t="shared" si="51"/>
        <v>0</v>
      </c>
      <c r="R234" s="5">
        <f t="shared" si="52"/>
        <v>0</v>
      </c>
      <c r="S234" s="5">
        <f t="shared" si="53"/>
        <v>0</v>
      </c>
      <c r="T234" s="5">
        <f t="shared" si="54"/>
        <v>0</v>
      </c>
      <c r="U234" s="5">
        <f t="shared" si="55"/>
        <v>0</v>
      </c>
      <c r="V234" s="5">
        <f t="shared" si="43"/>
        <v>0</v>
      </c>
    </row>
    <row r="235" spans="1:22" ht="13.5" customHeight="1" x14ac:dyDescent="0.25">
      <c r="A235" s="594"/>
      <c r="B235" s="377"/>
      <c r="C235" s="377"/>
      <c r="D235" s="443">
        <f t="shared" si="42"/>
        <v>100</v>
      </c>
      <c r="E235" s="580"/>
      <c r="F235" s="580"/>
      <c r="J235" s="26">
        <f t="shared" si="44"/>
        <v>0</v>
      </c>
      <c r="K235" s="5">
        <f t="shared" si="45"/>
        <v>0</v>
      </c>
      <c r="L235" s="5">
        <f t="shared" si="46"/>
        <v>0</v>
      </c>
      <c r="M235" s="5">
        <f t="shared" si="47"/>
        <v>0</v>
      </c>
      <c r="N235" s="5">
        <f t="shared" si="48"/>
        <v>0</v>
      </c>
      <c r="O235" s="5">
        <f t="shared" si="49"/>
        <v>0</v>
      </c>
      <c r="P235" s="5">
        <f t="shared" si="50"/>
        <v>0</v>
      </c>
      <c r="Q235" s="5">
        <f t="shared" si="51"/>
        <v>0</v>
      </c>
      <c r="R235" s="5">
        <f t="shared" si="52"/>
        <v>0</v>
      </c>
      <c r="S235" s="5">
        <f t="shared" si="53"/>
        <v>0</v>
      </c>
      <c r="T235" s="5">
        <f t="shared" si="54"/>
        <v>0</v>
      </c>
      <c r="U235" s="5">
        <f t="shared" si="55"/>
        <v>0</v>
      </c>
      <c r="V235" s="5">
        <f t="shared" si="43"/>
        <v>0</v>
      </c>
    </row>
    <row r="236" spans="1:22" ht="13.5" customHeight="1" x14ac:dyDescent="0.25">
      <c r="A236" s="594"/>
      <c r="B236" s="377"/>
      <c r="C236" s="377"/>
      <c r="D236" s="443">
        <f t="shared" si="42"/>
        <v>100</v>
      </c>
      <c r="E236" s="580"/>
      <c r="F236" s="580"/>
      <c r="J236" s="26">
        <f t="shared" si="44"/>
        <v>0</v>
      </c>
      <c r="K236" s="5">
        <f t="shared" si="45"/>
        <v>0</v>
      </c>
      <c r="L236" s="5">
        <f t="shared" si="46"/>
        <v>0</v>
      </c>
      <c r="M236" s="5">
        <f t="shared" si="47"/>
        <v>0</v>
      </c>
      <c r="N236" s="5">
        <f t="shared" si="48"/>
        <v>0</v>
      </c>
      <c r="O236" s="5">
        <f t="shared" si="49"/>
        <v>0</v>
      </c>
      <c r="P236" s="5">
        <f t="shared" si="50"/>
        <v>0</v>
      </c>
      <c r="Q236" s="5">
        <f t="shared" si="51"/>
        <v>0</v>
      </c>
      <c r="R236" s="5">
        <f t="shared" si="52"/>
        <v>0</v>
      </c>
      <c r="S236" s="5">
        <f t="shared" si="53"/>
        <v>0</v>
      </c>
      <c r="T236" s="5">
        <f t="shared" si="54"/>
        <v>0</v>
      </c>
      <c r="U236" s="5">
        <f t="shared" si="55"/>
        <v>0</v>
      </c>
      <c r="V236" s="5">
        <f t="shared" si="43"/>
        <v>0</v>
      </c>
    </row>
    <row r="237" spans="1:22" ht="13.5" customHeight="1" x14ac:dyDescent="0.25">
      <c r="A237" s="594"/>
      <c r="B237" s="377"/>
      <c r="C237" s="377"/>
      <c r="D237" s="443">
        <f t="shared" si="42"/>
        <v>100</v>
      </c>
      <c r="E237" s="580"/>
      <c r="F237" s="580"/>
      <c r="J237" s="26">
        <f t="shared" si="44"/>
        <v>0</v>
      </c>
      <c r="K237" s="5">
        <f t="shared" si="45"/>
        <v>0</v>
      </c>
      <c r="L237" s="5">
        <f t="shared" si="46"/>
        <v>0</v>
      </c>
      <c r="M237" s="5">
        <f t="shared" si="47"/>
        <v>0</v>
      </c>
      <c r="N237" s="5">
        <f t="shared" si="48"/>
        <v>0</v>
      </c>
      <c r="O237" s="5">
        <f t="shared" si="49"/>
        <v>0</v>
      </c>
      <c r="P237" s="5">
        <f t="shared" si="50"/>
        <v>0</v>
      </c>
      <c r="Q237" s="5">
        <f t="shared" si="51"/>
        <v>0</v>
      </c>
      <c r="R237" s="5">
        <f t="shared" si="52"/>
        <v>0</v>
      </c>
      <c r="S237" s="5">
        <f t="shared" si="53"/>
        <v>0</v>
      </c>
      <c r="T237" s="5">
        <f t="shared" si="54"/>
        <v>0</v>
      </c>
      <c r="U237" s="5">
        <f t="shared" si="55"/>
        <v>0</v>
      </c>
      <c r="V237" s="5">
        <f t="shared" si="43"/>
        <v>0</v>
      </c>
    </row>
    <row r="238" spans="1:22" ht="13.5" customHeight="1" x14ac:dyDescent="0.25">
      <c r="A238" s="594"/>
      <c r="B238" s="377"/>
      <c r="C238" s="377"/>
      <c r="D238" s="443">
        <f t="shared" si="42"/>
        <v>100</v>
      </c>
      <c r="E238" s="580"/>
      <c r="F238" s="580"/>
      <c r="J238" s="26">
        <f t="shared" si="44"/>
        <v>0</v>
      </c>
      <c r="K238" s="5">
        <f t="shared" si="45"/>
        <v>0</v>
      </c>
      <c r="L238" s="5">
        <f t="shared" si="46"/>
        <v>0</v>
      </c>
      <c r="M238" s="5">
        <f t="shared" si="47"/>
        <v>0</v>
      </c>
      <c r="N238" s="5">
        <f t="shared" si="48"/>
        <v>0</v>
      </c>
      <c r="O238" s="5">
        <f t="shared" si="49"/>
        <v>0</v>
      </c>
      <c r="P238" s="5">
        <f t="shared" si="50"/>
        <v>0</v>
      </c>
      <c r="Q238" s="5">
        <f t="shared" si="51"/>
        <v>0</v>
      </c>
      <c r="R238" s="5">
        <f t="shared" si="52"/>
        <v>0</v>
      </c>
      <c r="S238" s="5">
        <f t="shared" si="53"/>
        <v>0</v>
      </c>
      <c r="T238" s="5">
        <f t="shared" si="54"/>
        <v>0</v>
      </c>
      <c r="U238" s="5">
        <f t="shared" si="55"/>
        <v>0</v>
      </c>
      <c r="V238" s="5">
        <f t="shared" si="43"/>
        <v>0</v>
      </c>
    </row>
    <row r="239" spans="1:22" ht="13.5" customHeight="1" x14ac:dyDescent="0.25">
      <c r="A239" s="594"/>
      <c r="B239" s="377"/>
      <c r="C239" s="377"/>
      <c r="D239" s="443">
        <f t="shared" si="42"/>
        <v>100</v>
      </c>
      <c r="E239" s="580"/>
      <c r="F239" s="580"/>
      <c r="J239" s="26">
        <f t="shared" si="44"/>
        <v>0</v>
      </c>
      <c r="K239" s="5">
        <f t="shared" si="45"/>
        <v>0</v>
      </c>
      <c r="L239" s="5">
        <f t="shared" si="46"/>
        <v>0</v>
      </c>
      <c r="M239" s="5">
        <f t="shared" si="47"/>
        <v>0</v>
      </c>
      <c r="N239" s="5">
        <f t="shared" si="48"/>
        <v>0</v>
      </c>
      <c r="O239" s="5">
        <f t="shared" si="49"/>
        <v>0</v>
      </c>
      <c r="P239" s="5">
        <f t="shared" si="50"/>
        <v>0</v>
      </c>
      <c r="Q239" s="5">
        <f t="shared" si="51"/>
        <v>0</v>
      </c>
      <c r="R239" s="5">
        <f t="shared" si="52"/>
        <v>0</v>
      </c>
      <c r="S239" s="5">
        <f t="shared" si="53"/>
        <v>0</v>
      </c>
      <c r="T239" s="5">
        <f t="shared" si="54"/>
        <v>0</v>
      </c>
      <c r="U239" s="5">
        <f t="shared" si="55"/>
        <v>0</v>
      </c>
      <c r="V239" s="5">
        <f t="shared" si="43"/>
        <v>0</v>
      </c>
    </row>
    <row r="240" spans="1:22" ht="13.5" customHeight="1" x14ac:dyDescent="0.25">
      <c r="A240" s="594"/>
      <c r="B240" s="377"/>
      <c r="C240" s="377"/>
      <c r="D240" s="443">
        <f t="shared" si="42"/>
        <v>100</v>
      </c>
      <c r="E240" s="580"/>
      <c r="F240" s="580"/>
      <c r="J240" s="26">
        <f t="shared" si="44"/>
        <v>0</v>
      </c>
      <c r="K240" s="5">
        <f t="shared" si="45"/>
        <v>0</v>
      </c>
      <c r="L240" s="5">
        <f t="shared" si="46"/>
        <v>0</v>
      </c>
      <c r="M240" s="5">
        <f t="shared" si="47"/>
        <v>0</v>
      </c>
      <c r="N240" s="5">
        <f t="shared" si="48"/>
        <v>0</v>
      </c>
      <c r="O240" s="5">
        <f t="shared" si="49"/>
        <v>0</v>
      </c>
      <c r="P240" s="5">
        <f t="shared" si="50"/>
        <v>0</v>
      </c>
      <c r="Q240" s="5">
        <f t="shared" si="51"/>
        <v>0</v>
      </c>
      <c r="R240" s="5">
        <f t="shared" si="52"/>
        <v>0</v>
      </c>
      <c r="S240" s="5">
        <f t="shared" si="53"/>
        <v>0</v>
      </c>
      <c r="T240" s="5">
        <f t="shared" si="54"/>
        <v>0</v>
      </c>
      <c r="U240" s="5">
        <f t="shared" si="55"/>
        <v>0</v>
      </c>
      <c r="V240" s="5">
        <f t="shared" si="43"/>
        <v>0</v>
      </c>
    </row>
    <row r="241" spans="1:22" ht="13.5" customHeight="1" x14ac:dyDescent="0.25">
      <c r="A241" s="594"/>
      <c r="B241" s="377"/>
      <c r="C241" s="377"/>
      <c r="D241" s="443">
        <f t="shared" si="42"/>
        <v>100</v>
      </c>
      <c r="E241" s="580"/>
      <c r="F241" s="580"/>
      <c r="J241" s="26">
        <f t="shared" si="44"/>
        <v>0</v>
      </c>
      <c r="K241" s="5">
        <f t="shared" si="45"/>
        <v>0</v>
      </c>
      <c r="L241" s="5">
        <f t="shared" si="46"/>
        <v>0</v>
      </c>
      <c r="M241" s="5">
        <f t="shared" si="47"/>
        <v>0</v>
      </c>
      <c r="N241" s="5">
        <f t="shared" si="48"/>
        <v>0</v>
      </c>
      <c r="O241" s="5">
        <f t="shared" si="49"/>
        <v>0</v>
      </c>
      <c r="P241" s="5">
        <f t="shared" si="50"/>
        <v>0</v>
      </c>
      <c r="Q241" s="5">
        <f t="shared" si="51"/>
        <v>0</v>
      </c>
      <c r="R241" s="5">
        <f t="shared" si="52"/>
        <v>0</v>
      </c>
      <c r="S241" s="5">
        <f t="shared" si="53"/>
        <v>0</v>
      </c>
      <c r="T241" s="5">
        <f t="shared" si="54"/>
        <v>0</v>
      </c>
      <c r="U241" s="5">
        <f t="shared" si="55"/>
        <v>0</v>
      </c>
      <c r="V241" s="5">
        <f t="shared" si="43"/>
        <v>0</v>
      </c>
    </row>
    <row r="242" spans="1:22" ht="13.5" customHeight="1" x14ac:dyDescent="0.25">
      <c r="A242" s="594"/>
      <c r="B242" s="377"/>
      <c r="C242" s="377"/>
      <c r="D242" s="443">
        <f t="shared" si="42"/>
        <v>100</v>
      </c>
      <c r="E242" s="580"/>
      <c r="F242" s="580"/>
      <c r="J242" s="26">
        <f t="shared" si="44"/>
        <v>0</v>
      </c>
      <c r="K242" s="5">
        <f t="shared" si="45"/>
        <v>0</v>
      </c>
      <c r="L242" s="5">
        <f t="shared" si="46"/>
        <v>0</v>
      </c>
      <c r="M242" s="5">
        <f t="shared" si="47"/>
        <v>0</v>
      </c>
      <c r="N242" s="5">
        <f t="shared" si="48"/>
        <v>0</v>
      </c>
      <c r="O242" s="5">
        <f t="shared" si="49"/>
        <v>0</v>
      </c>
      <c r="P242" s="5">
        <f t="shared" si="50"/>
        <v>0</v>
      </c>
      <c r="Q242" s="5">
        <f t="shared" si="51"/>
        <v>0</v>
      </c>
      <c r="R242" s="5">
        <f t="shared" si="52"/>
        <v>0</v>
      </c>
      <c r="S242" s="5">
        <f t="shared" si="53"/>
        <v>0</v>
      </c>
      <c r="T242" s="5">
        <f t="shared" si="54"/>
        <v>0</v>
      </c>
      <c r="U242" s="5">
        <f t="shared" si="55"/>
        <v>0</v>
      </c>
      <c r="V242" s="5">
        <f t="shared" si="43"/>
        <v>0</v>
      </c>
    </row>
    <row r="243" spans="1:22" ht="13.5" customHeight="1" x14ac:dyDescent="0.25">
      <c r="A243" s="594"/>
      <c r="B243" s="377"/>
      <c r="C243" s="377"/>
      <c r="D243" s="443">
        <f t="shared" si="42"/>
        <v>100</v>
      </c>
      <c r="E243" s="580"/>
      <c r="F243" s="580"/>
      <c r="J243" s="26">
        <f t="shared" si="44"/>
        <v>0</v>
      </c>
      <c r="K243" s="5">
        <f t="shared" si="45"/>
        <v>0</v>
      </c>
      <c r="L243" s="5">
        <f t="shared" si="46"/>
        <v>0</v>
      </c>
      <c r="M243" s="5">
        <f t="shared" si="47"/>
        <v>0</v>
      </c>
      <c r="N243" s="5">
        <f t="shared" si="48"/>
        <v>0</v>
      </c>
      <c r="O243" s="5">
        <f t="shared" si="49"/>
        <v>0</v>
      </c>
      <c r="P243" s="5">
        <f t="shared" si="50"/>
        <v>0</v>
      </c>
      <c r="Q243" s="5">
        <f t="shared" si="51"/>
        <v>0</v>
      </c>
      <c r="R243" s="5">
        <f t="shared" si="52"/>
        <v>0</v>
      </c>
      <c r="S243" s="5">
        <f t="shared" si="53"/>
        <v>0</v>
      </c>
      <c r="T243" s="5">
        <f t="shared" si="54"/>
        <v>0</v>
      </c>
      <c r="U243" s="5">
        <f t="shared" si="55"/>
        <v>0</v>
      </c>
      <c r="V243" s="5">
        <f t="shared" si="43"/>
        <v>0</v>
      </c>
    </row>
    <row r="244" spans="1:22" ht="13.5" customHeight="1" x14ac:dyDescent="0.25">
      <c r="A244" s="594"/>
      <c r="B244" s="377"/>
      <c r="C244" s="377"/>
      <c r="D244" s="443">
        <f t="shared" si="42"/>
        <v>100</v>
      </c>
      <c r="E244" s="580"/>
      <c r="F244" s="580"/>
      <c r="J244" s="26">
        <f t="shared" si="44"/>
        <v>0</v>
      </c>
      <c r="K244" s="5">
        <f t="shared" si="45"/>
        <v>0</v>
      </c>
      <c r="L244" s="5">
        <f t="shared" si="46"/>
        <v>0</v>
      </c>
      <c r="M244" s="5">
        <f t="shared" si="47"/>
        <v>0</v>
      </c>
      <c r="N244" s="5">
        <f t="shared" si="48"/>
        <v>0</v>
      </c>
      <c r="O244" s="5">
        <f t="shared" si="49"/>
        <v>0</v>
      </c>
      <c r="P244" s="5">
        <f t="shared" si="50"/>
        <v>0</v>
      </c>
      <c r="Q244" s="5">
        <f t="shared" si="51"/>
        <v>0</v>
      </c>
      <c r="R244" s="5">
        <f t="shared" si="52"/>
        <v>0</v>
      </c>
      <c r="S244" s="5">
        <f t="shared" si="53"/>
        <v>0</v>
      </c>
      <c r="T244" s="5">
        <f t="shared" si="54"/>
        <v>0</v>
      </c>
      <c r="U244" s="5">
        <f t="shared" si="55"/>
        <v>0</v>
      </c>
      <c r="V244" s="5">
        <f t="shared" si="43"/>
        <v>0</v>
      </c>
    </row>
    <row r="245" spans="1:22" ht="13.5" customHeight="1" x14ac:dyDescent="0.25">
      <c r="A245" s="594"/>
      <c r="B245" s="377"/>
      <c r="C245" s="377"/>
      <c r="D245" s="443">
        <f t="shared" si="42"/>
        <v>100</v>
      </c>
      <c r="E245" s="580"/>
      <c r="F245" s="580"/>
      <c r="J245" s="26">
        <f t="shared" si="44"/>
        <v>0</v>
      </c>
      <c r="K245" s="5">
        <f t="shared" si="45"/>
        <v>0</v>
      </c>
      <c r="L245" s="5">
        <f t="shared" si="46"/>
        <v>0</v>
      </c>
      <c r="M245" s="5">
        <f t="shared" si="47"/>
        <v>0</v>
      </c>
      <c r="N245" s="5">
        <f t="shared" si="48"/>
        <v>0</v>
      </c>
      <c r="O245" s="5">
        <f t="shared" si="49"/>
        <v>0</v>
      </c>
      <c r="P245" s="5">
        <f t="shared" si="50"/>
        <v>0</v>
      </c>
      <c r="Q245" s="5">
        <f t="shared" si="51"/>
        <v>0</v>
      </c>
      <c r="R245" s="5">
        <f t="shared" si="52"/>
        <v>0</v>
      </c>
      <c r="S245" s="5">
        <f t="shared" si="53"/>
        <v>0</v>
      </c>
      <c r="T245" s="5">
        <f t="shared" si="54"/>
        <v>0</v>
      </c>
      <c r="U245" s="5">
        <f t="shared" si="55"/>
        <v>0</v>
      </c>
      <c r="V245" s="5">
        <f t="shared" si="43"/>
        <v>0</v>
      </c>
    </row>
    <row r="246" spans="1:22" ht="13.5" customHeight="1" x14ac:dyDescent="0.25">
      <c r="A246" s="594"/>
      <c r="B246" s="377"/>
      <c r="C246" s="377"/>
      <c r="D246" s="443">
        <f t="shared" si="42"/>
        <v>100</v>
      </c>
      <c r="E246" s="580"/>
      <c r="F246" s="580"/>
      <c r="J246" s="26">
        <f t="shared" si="44"/>
        <v>0</v>
      </c>
      <c r="K246" s="5">
        <f t="shared" si="45"/>
        <v>0</v>
      </c>
      <c r="L246" s="5">
        <f t="shared" si="46"/>
        <v>0</v>
      </c>
      <c r="M246" s="5">
        <f t="shared" si="47"/>
        <v>0</v>
      </c>
      <c r="N246" s="5">
        <f t="shared" si="48"/>
        <v>0</v>
      </c>
      <c r="O246" s="5">
        <f t="shared" si="49"/>
        <v>0</v>
      </c>
      <c r="P246" s="5">
        <f t="shared" si="50"/>
        <v>0</v>
      </c>
      <c r="Q246" s="5">
        <f t="shared" si="51"/>
        <v>0</v>
      </c>
      <c r="R246" s="5">
        <f t="shared" si="52"/>
        <v>0</v>
      </c>
      <c r="S246" s="5">
        <f t="shared" si="53"/>
        <v>0</v>
      </c>
      <c r="T246" s="5">
        <f t="shared" si="54"/>
        <v>0</v>
      </c>
      <c r="U246" s="5">
        <f t="shared" si="55"/>
        <v>0</v>
      </c>
      <c r="V246" s="5">
        <f t="shared" si="43"/>
        <v>0</v>
      </c>
    </row>
    <row r="247" spans="1:22" ht="13.5" customHeight="1" x14ac:dyDescent="0.25">
      <c r="A247" s="594"/>
      <c r="B247" s="377"/>
      <c r="C247" s="377"/>
      <c r="D247" s="443">
        <f t="shared" si="42"/>
        <v>100</v>
      </c>
      <c r="E247" s="580"/>
      <c r="F247" s="580"/>
      <c r="J247" s="26">
        <f t="shared" si="44"/>
        <v>0</v>
      </c>
      <c r="K247" s="5">
        <f t="shared" si="45"/>
        <v>0</v>
      </c>
      <c r="L247" s="5">
        <f t="shared" si="46"/>
        <v>0</v>
      </c>
      <c r="M247" s="5">
        <f t="shared" si="47"/>
        <v>0</v>
      </c>
      <c r="N247" s="5">
        <f t="shared" si="48"/>
        <v>0</v>
      </c>
      <c r="O247" s="5">
        <f t="shared" si="49"/>
        <v>0</v>
      </c>
      <c r="P247" s="5">
        <f t="shared" si="50"/>
        <v>0</v>
      </c>
      <c r="Q247" s="5">
        <f t="shared" si="51"/>
        <v>0</v>
      </c>
      <c r="R247" s="5">
        <f t="shared" si="52"/>
        <v>0</v>
      </c>
      <c r="S247" s="5">
        <f t="shared" si="53"/>
        <v>0</v>
      </c>
      <c r="T247" s="5">
        <f t="shared" si="54"/>
        <v>0</v>
      </c>
      <c r="U247" s="5">
        <f t="shared" si="55"/>
        <v>0</v>
      </c>
      <c r="V247" s="5">
        <f t="shared" si="43"/>
        <v>0</v>
      </c>
    </row>
    <row r="248" spans="1:22" ht="13.5" customHeight="1" x14ac:dyDescent="0.25">
      <c r="A248" s="594"/>
      <c r="B248" s="377"/>
      <c r="C248" s="377"/>
      <c r="D248" s="443">
        <f t="shared" si="42"/>
        <v>100</v>
      </c>
      <c r="E248" s="580"/>
      <c r="F248" s="580"/>
      <c r="J248" s="26">
        <f t="shared" si="44"/>
        <v>0</v>
      </c>
      <c r="K248" s="5">
        <f t="shared" si="45"/>
        <v>0</v>
      </c>
      <c r="L248" s="5">
        <f t="shared" si="46"/>
        <v>0</v>
      </c>
      <c r="M248" s="5">
        <f t="shared" si="47"/>
        <v>0</v>
      </c>
      <c r="N248" s="5">
        <f t="shared" si="48"/>
        <v>0</v>
      </c>
      <c r="O248" s="5">
        <f t="shared" si="49"/>
        <v>0</v>
      </c>
      <c r="P248" s="5">
        <f t="shared" si="50"/>
        <v>0</v>
      </c>
      <c r="Q248" s="5">
        <f t="shared" si="51"/>
        <v>0</v>
      </c>
      <c r="R248" s="5">
        <f t="shared" si="52"/>
        <v>0</v>
      </c>
      <c r="S248" s="5">
        <f t="shared" si="53"/>
        <v>0</v>
      </c>
      <c r="T248" s="5">
        <f t="shared" si="54"/>
        <v>0</v>
      </c>
      <c r="U248" s="5">
        <f t="shared" si="55"/>
        <v>0</v>
      </c>
      <c r="V248" s="5">
        <f t="shared" si="43"/>
        <v>0</v>
      </c>
    </row>
    <row r="249" spans="1:22" ht="13.5" customHeight="1" x14ac:dyDescent="0.25">
      <c r="A249" s="594"/>
      <c r="B249" s="377"/>
      <c r="C249" s="377"/>
      <c r="D249" s="443">
        <f t="shared" si="42"/>
        <v>100</v>
      </c>
      <c r="E249" s="580"/>
      <c r="F249" s="580"/>
      <c r="J249" s="26">
        <f t="shared" si="44"/>
        <v>0</v>
      </c>
      <c r="K249" s="5">
        <f t="shared" si="45"/>
        <v>0</v>
      </c>
      <c r="L249" s="5">
        <f t="shared" si="46"/>
        <v>0</v>
      </c>
      <c r="M249" s="5">
        <f t="shared" si="47"/>
        <v>0</v>
      </c>
      <c r="N249" s="5">
        <f t="shared" si="48"/>
        <v>0</v>
      </c>
      <c r="O249" s="5">
        <f t="shared" si="49"/>
        <v>0</v>
      </c>
      <c r="P249" s="5">
        <f t="shared" si="50"/>
        <v>0</v>
      </c>
      <c r="Q249" s="5">
        <f t="shared" si="51"/>
        <v>0</v>
      </c>
      <c r="R249" s="5">
        <f t="shared" si="52"/>
        <v>0</v>
      </c>
      <c r="S249" s="5">
        <f t="shared" si="53"/>
        <v>0</v>
      </c>
      <c r="T249" s="5">
        <f t="shared" si="54"/>
        <v>0</v>
      </c>
      <c r="U249" s="5">
        <f t="shared" si="55"/>
        <v>0</v>
      </c>
      <c r="V249" s="5">
        <f t="shared" si="43"/>
        <v>0</v>
      </c>
    </row>
    <row r="250" spans="1:22" ht="13.5" customHeight="1" x14ac:dyDescent="0.25">
      <c r="A250" s="594"/>
      <c r="B250" s="377"/>
      <c r="C250" s="377"/>
      <c r="D250" s="443">
        <f t="shared" si="42"/>
        <v>100</v>
      </c>
      <c r="E250" s="580"/>
      <c r="F250" s="580"/>
      <c r="J250" s="26">
        <f t="shared" si="44"/>
        <v>0</v>
      </c>
      <c r="K250" s="5">
        <f t="shared" si="45"/>
        <v>0</v>
      </c>
      <c r="L250" s="5">
        <f t="shared" si="46"/>
        <v>0</v>
      </c>
      <c r="M250" s="5">
        <f t="shared" si="47"/>
        <v>0</v>
      </c>
      <c r="N250" s="5">
        <f t="shared" si="48"/>
        <v>0</v>
      </c>
      <c r="O250" s="5">
        <f t="shared" si="49"/>
        <v>0</v>
      </c>
      <c r="P250" s="5">
        <f t="shared" si="50"/>
        <v>0</v>
      </c>
      <c r="Q250" s="5">
        <f t="shared" si="51"/>
        <v>0</v>
      </c>
      <c r="R250" s="5">
        <f t="shared" si="52"/>
        <v>0</v>
      </c>
      <c r="S250" s="5">
        <f t="shared" si="53"/>
        <v>0</v>
      </c>
      <c r="T250" s="5">
        <f t="shared" si="54"/>
        <v>0</v>
      </c>
      <c r="U250" s="5">
        <f t="shared" si="55"/>
        <v>0</v>
      </c>
      <c r="V250" s="5">
        <f t="shared" si="43"/>
        <v>0</v>
      </c>
    </row>
    <row r="251" spans="1:22" ht="13.5" customHeight="1" x14ac:dyDescent="0.25">
      <c r="A251" s="594"/>
      <c r="B251" s="377"/>
      <c r="C251" s="377"/>
      <c r="D251" s="443">
        <f t="shared" si="42"/>
        <v>100</v>
      </c>
      <c r="E251" s="580"/>
      <c r="F251" s="580"/>
      <c r="J251" s="26">
        <f t="shared" si="44"/>
        <v>0</v>
      </c>
      <c r="K251" s="5">
        <f t="shared" si="45"/>
        <v>0</v>
      </c>
      <c r="L251" s="5">
        <f t="shared" si="46"/>
        <v>0</v>
      </c>
      <c r="M251" s="5">
        <f t="shared" si="47"/>
        <v>0</v>
      </c>
      <c r="N251" s="5">
        <f t="shared" si="48"/>
        <v>0</v>
      </c>
      <c r="O251" s="5">
        <f t="shared" si="49"/>
        <v>0</v>
      </c>
      <c r="P251" s="5">
        <f t="shared" si="50"/>
        <v>0</v>
      </c>
      <c r="Q251" s="5">
        <f t="shared" si="51"/>
        <v>0</v>
      </c>
      <c r="R251" s="5">
        <f t="shared" si="52"/>
        <v>0</v>
      </c>
      <c r="S251" s="5">
        <f t="shared" si="53"/>
        <v>0</v>
      </c>
      <c r="T251" s="5">
        <f t="shared" si="54"/>
        <v>0</v>
      </c>
      <c r="U251" s="5">
        <f t="shared" si="55"/>
        <v>0</v>
      </c>
      <c r="V251" s="5">
        <f t="shared" si="43"/>
        <v>0</v>
      </c>
    </row>
    <row r="252" spans="1:22" ht="13.5" customHeight="1" x14ac:dyDescent="0.25">
      <c r="A252" s="594"/>
      <c r="B252" s="377"/>
      <c r="C252" s="377"/>
      <c r="D252" s="443">
        <f t="shared" si="42"/>
        <v>100</v>
      </c>
      <c r="E252" s="580"/>
      <c r="F252" s="580"/>
      <c r="J252" s="26">
        <f t="shared" si="44"/>
        <v>0</v>
      </c>
      <c r="K252" s="5">
        <f t="shared" si="45"/>
        <v>0</v>
      </c>
      <c r="L252" s="5">
        <f t="shared" si="46"/>
        <v>0</v>
      </c>
      <c r="M252" s="5">
        <f t="shared" si="47"/>
        <v>0</v>
      </c>
      <c r="N252" s="5">
        <f t="shared" si="48"/>
        <v>0</v>
      </c>
      <c r="O252" s="5">
        <f t="shared" si="49"/>
        <v>0</v>
      </c>
      <c r="P252" s="5">
        <f t="shared" si="50"/>
        <v>0</v>
      </c>
      <c r="Q252" s="5">
        <f t="shared" si="51"/>
        <v>0</v>
      </c>
      <c r="R252" s="5">
        <f t="shared" si="52"/>
        <v>0</v>
      </c>
      <c r="S252" s="5">
        <f t="shared" si="53"/>
        <v>0</v>
      </c>
      <c r="T252" s="5">
        <f t="shared" si="54"/>
        <v>0</v>
      </c>
      <c r="U252" s="5">
        <f t="shared" si="55"/>
        <v>0</v>
      </c>
      <c r="V252" s="5">
        <f t="shared" si="43"/>
        <v>0</v>
      </c>
    </row>
    <row r="253" spans="1:22" ht="13.5" customHeight="1" x14ac:dyDescent="0.25">
      <c r="A253" s="594"/>
      <c r="B253" s="377"/>
      <c r="C253" s="377"/>
      <c r="D253" s="443">
        <f t="shared" si="42"/>
        <v>100</v>
      </c>
      <c r="E253" s="580"/>
      <c r="F253" s="580"/>
      <c r="J253" s="26">
        <f t="shared" si="44"/>
        <v>0</v>
      </c>
      <c r="K253" s="5">
        <f t="shared" si="45"/>
        <v>0</v>
      </c>
      <c r="L253" s="5">
        <f t="shared" si="46"/>
        <v>0</v>
      </c>
      <c r="M253" s="5">
        <f t="shared" si="47"/>
        <v>0</v>
      </c>
      <c r="N253" s="5">
        <f t="shared" si="48"/>
        <v>0</v>
      </c>
      <c r="O253" s="5">
        <f t="shared" si="49"/>
        <v>0</v>
      </c>
      <c r="P253" s="5">
        <f t="shared" si="50"/>
        <v>0</v>
      </c>
      <c r="Q253" s="5">
        <f t="shared" si="51"/>
        <v>0</v>
      </c>
      <c r="R253" s="5">
        <f t="shared" si="52"/>
        <v>0</v>
      </c>
      <c r="S253" s="5">
        <f t="shared" si="53"/>
        <v>0</v>
      </c>
      <c r="T253" s="5">
        <f t="shared" si="54"/>
        <v>0</v>
      </c>
      <c r="U253" s="5">
        <f t="shared" si="55"/>
        <v>0</v>
      </c>
      <c r="V253" s="5">
        <f t="shared" si="43"/>
        <v>0</v>
      </c>
    </row>
    <row r="254" spans="1:22" ht="13.5" customHeight="1" x14ac:dyDescent="0.25">
      <c r="A254" s="594"/>
      <c r="B254" s="377"/>
      <c r="C254" s="377"/>
      <c r="D254" s="443">
        <f t="shared" si="42"/>
        <v>100</v>
      </c>
      <c r="E254" s="580"/>
      <c r="F254" s="580"/>
      <c r="J254" s="26">
        <f t="shared" si="44"/>
        <v>0</v>
      </c>
      <c r="K254" s="5">
        <f t="shared" si="45"/>
        <v>0</v>
      </c>
      <c r="L254" s="5">
        <f t="shared" si="46"/>
        <v>0</v>
      </c>
      <c r="M254" s="5">
        <f t="shared" si="47"/>
        <v>0</v>
      </c>
      <c r="N254" s="5">
        <f t="shared" si="48"/>
        <v>0</v>
      </c>
      <c r="O254" s="5">
        <f t="shared" si="49"/>
        <v>0</v>
      </c>
      <c r="P254" s="5">
        <f t="shared" si="50"/>
        <v>0</v>
      </c>
      <c r="Q254" s="5">
        <f t="shared" si="51"/>
        <v>0</v>
      </c>
      <c r="R254" s="5">
        <f t="shared" si="52"/>
        <v>0</v>
      </c>
      <c r="S254" s="5">
        <f t="shared" si="53"/>
        <v>0</v>
      </c>
      <c r="T254" s="5">
        <f t="shared" si="54"/>
        <v>0</v>
      </c>
      <c r="U254" s="5">
        <f t="shared" si="55"/>
        <v>0</v>
      </c>
      <c r="V254" s="5">
        <f t="shared" si="43"/>
        <v>0</v>
      </c>
    </row>
    <row r="255" spans="1:22" ht="13.5" customHeight="1" x14ac:dyDescent="0.25">
      <c r="A255" s="594"/>
      <c r="B255" s="377"/>
      <c r="C255" s="377"/>
      <c r="D255" s="443">
        <f t="shared" si="42"/>
        <v>100</v>
      </c>
      <c r="E255" s="580"/>
      <c r="F255" s="580"/>
      <c r="J255" s="26">
        <f t="shared" si="44"/>
        <v>0</v>
      </c>
      <c r="K255" s="5">
        <f t="shared" si="45"/>
        <v>0</v>
      </c>
      <c r="L255" s="5">
        <f t="shared" si="46"/>
        <v>0</v>
      </c>
      <c r="M255" s="5">
        <f t="shared" si="47"/>
        <v>0</v>
      </c>
      <c r="N255" s="5">
        <f t="shared" si="48"/>
        <v>0</v>
      </c>
      <c r="O255" s="5">
        <f t="shared" si="49"/>
        <v>0</v>
      </c>
      <c r="P255" s="5">
        <f t="shared" si="50"/>
        <v>0</v>
      </c>
      <c r="Q255" s="5">
        <f t="shared" si="51"/>
        <v>0</v>
      </c>
      <c r="R255" s="5">
        <f t="shared" si="52"/>
        <v>0</v>
      </c>
      <c r="S255" s="5">
        <f t="shared" si="53"/>
        <v>0</v>
      </c>
      <c r="T255" s="5">
        <f t="shared" si="54"/>
        <v>0</v>
      </c>
      <c r="U255" s="5">
        <f t="shared" si="55"/>
        <v>0</v>
      </c>
      <c r="V255" s="5">
        <f t="shared" si="43"/>
        <v>0</v>
      </c>
    </row>
    <row r="256" spans="1:22" ht="13.5" customHeight="1" x14ac:dyDescent="0.25">
      <c r="A256" s="594"/>
      <c r="B256" s="377"/>
      <c r="C256" s="377"/>
      <c r="D256" s="443">
        <f t="shared" si="42"/>
        <v>100</v>
      </c>
      <c r="E256" s="580"/>
      <c r="F256" s="580"/>
      <c r="J256" s="26">
        <f t="shared" si="44"/>
        <v>0</v>
      </c>
      <c r="K256" s="5">
        <f t="shared" si="45"/>
        <v>0</v>
      </c>
      <c r="L256" s="5">
        <f t="shared" si="46"/>
        <v>0</v>
      </c>
      <c r="M256" s="5">
        <f t="shared" si="47"/>
        <v>0</v>
      </c>
      <c r="N256" s="5">
        <f t="shared" si="48"/>
        <v>0</v>
      </c>
      <c r="O256" s="5">
        <f t="shared" si="49"/>
        <v>0</v>
      </c>
      <c r="P256" s="5">
        <f t="shared" si="50"/>
        <v>0</v>
      </c>
      <c r="Q256" s="5">
        <f t="shared" si="51"/>
        <v>0</v>
      </c>
      <c r="R256" s="5">
        <f t="shared" si="52"/>
        <v>0</v>
      </c>
      <c r="S256" s="5">
        <f t="shared" si="53"/>
        <v>0</v>
      </c>
      <c r="T256" s="5">
        <f t="shared" si="54"/>
        <v>0</v>
      </c>
      <c r="U256" s="5">
        <f t="shared" si="55"/>
        <v>0</v>
      </c>
      <c r="V256" s="5">
        <f t="shared" si="43"/>
        <v>0</v>
      </c>
    </row>
    <row r="257" spans="1:22" ht="13.5" customHeight="1" x14ac:dyDescent="0.25">
      <c r="A257" s="594"/>
      <c r="B257" s="377"/>
      <c r="C257" s="377"/>
      <c r="D257" s="443">
        <f t="shared" si="42"/>
        <v>100</v>
      </c>
      <c r="E257" s="580"/>
      <c r="F257" s="580"/>
      <c r="J257" s="26">
        <f t="shared" si="44"/>
        <v>0</v>
      </c>
      <c r="K257" s="5">
        <f t="shared" si="45"/>
        <v>0</v>
      </c>
      <c r="L257" s="5">
        <f t="shared" si="46"/>
        <v>0</v>
      </c>
      <c r="M257" s="5">
        <f t="shared" si="47"/>
        <v>0</v>
      </c>
      <c r="N257" s="5">
        <f t="shared" si="48"/>
        <v>0</v>
      </c>
      <c r="O257" s="5">
        <f t="shared" si="49"/>
        <v>0</v>
      </c>
      <c r="P257" s="5">
        <f t="shared" si="50"/>
        <v>0</v>
      </c>
      <c r="Q257" s="5">
        <f t="shared" si="51"/>
        <v>0</v>
      </c>
      <c r="R257" s="5">
        <f t="shared" si="52"/>
        <v>0</v>
      </c>
      <c r="S257" s="5">
        <f t="shared" si="53"/>
        <v>0</v>
      </c>
      <c r="T257" s="5">
        <f t="shared" si="54"/>
        <v>0</v>
      </c>
      <c r="U257" s="5">
        <f t="shared" si="55"/>
        <v>0</v>
      </c>
      <c r="V257" s="5">
        <f t="shared" si="43"/>
        <v>0</v>
      </c>
    </row>
    <row r="258" spans="1:22" ht="13.5" customHeight="1" x14ac:dyDescent="0.25">
      <c r="A258" s="594"/>
      <c r="B258" s="377"/>
      <c r="C258" s="377"/>
      <c r="D258" s="443">
        <f t="shared" si="42"/>
        <v>100</v>
      </c>
      <c r="E258" s="580"/>
      <c r="F258" s="580"/>
      <c r="J258" s="26">
        <f t="shared" si="44"/>
        <v>0</v>
      </c>
      <c r="K258" s="5">
        <f t="shared" si="45"/>
        <v>0</v>
      </c>
      <c r="L258" s="5">
        <f t="shared" si="46"/>
        <v>0</v>
      </c>
      <c r="M258" s="5">
        <f t="shared" si="47"/>
        <v>0</v>
      </c>
      <c r="N258" s="5">
        <f t="shared" si="48"/>
        <v>0</v>
      </c>
      <c r="O258" s="5">
        <f t="shared" si="49"/>
        <v>0</v>
      </c>
      <c r="P258" s="5">
        <f t="shared" si="50"/>
        <v>0</v>
      </c>
      <c r="Q258" s="5">
        <f t="shared" si="51"/>
        <v>0</v>
      </c>
      <c r="R258" s="5">
        <f t="shared" si="52"/>
        <v>0</v>
      </c>
      <c r="S258" s="5">
        <f t="shared" si="53"/>
        <v>0</v>
      </c>
      <c r="T258" s="5">
        <f t="shared" si="54"/>
        <v>0</v>
      </c>
      <c r="U258" s="5">
        <f t="shared" si="55"/>
        <v>0</v>
      </c>
      <c r="V258" s="5">
        <f t="shared" si="43"/>
        <v>0</v>
      </c>
    </row>
    <row r="259" spans="1:22" ht="13.5" customHeight="1" x14ac:dyDescent="0.25">
      <c r="A259" s="594"/>
      <c r="B259" s="377"/>
      <c r="C259" s="377"/>
      <c r="D259" s="443">
        <f t="shared" si="42"/>
        <v>100</v>
      </c>
      <c r="E259" s="580"/>
      <c r="F259" s="580"/>
      <c r="J259" s="26">
        <f t="shared" si="44"/>
        <v>0</v>
      </c>
      <c r="K259" s="5">
        <f t="shared" si="45"/>
        <v>0</v>
      </c>
      <c r="L259" s="5">
        <f t="shared" si="46"/>
        <v>0</v>
      </c>
      <c r="M259" s="5">
        <f t="shared" si="47"/>
        <v>0</v>
      </c>
      <c r="N259" s="5">
        <f t="shared" si="48"/>
        <v>0</v>
      </c>
      <c r="O259" s="5">
        <f t="shared" si="49"/>
        <v>0</v>
      </c>
      <c r="P259" s="5">
        <f t="shared" si="50"/>
        <v>0</v>
      </c>
      <c r="Q259" s="5">
        <f t="shared" si="51"/>
        <v>0</v>
      </c>
      <c r="R259" s="5">
        <f t="shared" si="52"/>
        <v>0</v>
      </c>
      <c r="S259" s="5">
        <f t="shared" si="53"/>
        <v>0</v>
      </c>
      <c r="T259" s="5">
        <f t="shared" si="54"/>
        <v>0</v>
      </c>
      <c r="U259" s="5">
        <f t="shared" si="55"/>
        <v>0</v>
      </c>
      <c r="V259" s="5">
        <f t="shared" si="43"/>
        <v>0</v>
      </c>
    </row>
    <row r="260" spans="1:22" ht="13.5" customHeight="1" x14ac:dyDescent="0.25">
      <c r="A260" s="594"/>
      <c r="B260" s="377"/>
      <c r="C260" s="377"/>
      <c r="D260" s="443">
        <f t="shared" si="42"/>
        <v>100</v>
      </c>
      <c r="E260" s="580"/>
      <c r="F260" s="580"/>
      <c r="J260" s="26">
        <f t="shared" si="44"/>
        <v>0</v>
      </c>
      <c r="K260" s="5">
        <f t="shared" si="45"/>
        <v>0</v>
      </c>
      <c r="L260" s="5">
        <f t="shared" si="46"/>
        <v>0</v>
      </c>
      <c r="M260" s="5">
        <f t="shared" si="47"/>
        <v>0</v>
      </c>
      <c r="N260" s="5">
        <f t="shared" si="48"/>
        <v>0</v>
      </c>
      <c r="O260" s="5">
        <f t="shared" si="49"/>
        <v>0</v>
      </c>
      <c r="P260" s="5">
        <f t="shared" si="50"/>
        <v>0</v>
      </c>
      <c r="Q260" s="5">
        <f t="shared" si="51"/>
        <v>0</v>
      </c>
      <c r="R260" s="5">
        <f t="shared" si="52"/>
        <v>0</v>
      </c>
      <c r="S260" s="5">
        <f t="shared" si="53"/>
        <v>0</v>
      </c>
      <c r="T260" s="5">
        <f t="shared" si="54"/>
        <v>0</v>
      </c>
      <c r="U260" s="5">
        <f t="shared" si="55"/>
        <v>0</v>
      </c>
      <c r="V260" s="5">
        <f t="shared" si="43"/>
        <v>0</v>
      </c>
    </row>
    <row r="261" spans="1:22" ht="13.5" customHeight="1" x14ac:dyDescent="0.25">
      <c r="A261" s="594"/>
      <c r="B261" s="377"/>
      <c r="C261" s="377"/>
      <c r="D261" s="443">
        <f t="shared" si="42"/>
        <v>100</v>
      </c>
      <c r="E261" s="580"/>
      <c r="F261" s="580"/>
      <c r="J261" s="26">
        <f t="shared" si="44"/>
        <v>0</v>
      </c>
      <c r="K261" s="5">
        <f t="shared" si="45"/>
        <v>0</v>
      </c>
      <c r="L261" s="5">
        <f t="shared" si="46"/>
        <v>0</v>
      </c>
      <c r="M261" s="5">
        <f t="shared" si="47"/>
        <v>0</v>
      </c>
      <c r="N261" s="5">
        <f t="shared" si="48"/>
        <v>0</v>
      </c>
      <c r="O261" s="5">
        <f t="shared" si="49"/>
        <v>0</v>
      </c>
      <c r="P261" s="5">
        <f t="shared" si="50"/>
        <v>0</v>
      </c>
      <c r="Q261" s="5">
        <f t="shared" si="51"/>
        <v>0</v>
      </c>
      <c r="R261" s="5">
        <f t="shared" si="52"/>
        <v>0</v>
      </c>
      <c r="S261" s="5">
        <f t="shared" si="53"/>
        <v>0</v>
      </c>
      <c r="T261" s="5">
        <f t="shared" si="54"/>
        <v>0</v>
      </c>
      <c r="U261" s="5">
        <f t="shared" si="55"/>
        <v>0</v>
      </c>
      <c r="V261" s="5">
        <f t="shared" si="43"/>
        <v>0</v>
      </c>
    </row>
    <row r="262" spans="1:22" ht="13.5" customHeight="1" x14ac:dyDescent="0.25">
      <c r="A262" s="594"/>
      <c r="B262" s="377"/>
      <c r="C262" s="377"/>
      <c r="D262" s="443">
        <f t="shared" si="42"/>
        <v>100</v>
      </c>
      <c r="E262" s="580"/>
      <c r="F262" s="580"/>
      <c r="J262" s="26">
        <f t="shared" si="44"/>
        <v>0</v>
      </c>
      <c r="K262" s="5">
        <f t="shared" si="45"/>
        <v>0</v>
      </c>
      <c r="L262" s="5">
        <f t="shared" si="46"/>
        <v>0</v>
      </c>
      <c r="M262" s="5">
        <f t="shared" si="47"/>
        <v>0</v>
      </c>
      <c r="N262" s="5">
        <f t="shared" si="48"/>
        <v>0</v>
      </c>
      <c r="O262" s="5">
        <f t="shared" si="49"/>
        <v>0</v>
      </c>
      <c r="P262" s="5">
        <f t="shared" si="50"/>
        <v>0</v>
      </c>
      <c r="Q262" s="5">
        <f t="shared" si="51"/>
        <v>0</v>
      </c>
      <c r="R262" s="5">
        <f t="shared" si="52"/>
        <v>0</v>
      </c>
      <c r="S262" s="5">
        <f t="shared" si="53"/>
        <v>0</v>
      </c>
      <c r="T262" s="5">
        <f t="shared" si="54"/>
        <v>0</v>
      </c>
      <c r="U262" s="5">
        <f t="shared" si="55"/>
        <v>0</v>
      </c>
      <c r="V262" s="5">
        <f t="shared" si="43"/>
        <v>0</v>
      </c>
    </row>
    <row r="263" spans="1:22" ht="13.5" customHeight="1" x14ac:dyDescent="0.25">
      <c r="A263" s="594"/>
      <c r="B263" s="377"/>
      <c r="C263" s="377"/>
      <c r="D263" s="443">
        <f t="shared" si="42"/>
        <v>100</v>
      </c>
      <c r="E263" s="580"/>
      <c r="F263" s="580"/>
      <c r="J263" s="26">
        <f t="shared" si="44"/>
        <v>0</v>
      </c>
      <c r="K263" s="5">
        <f t="shared" si="45"/>
        <v>0</v>
      </c>
      <c r="L263" s="5">
        <f t="shared" si="46"/>
        <v>0</v>
      </c>
      <c r="M263" s="5">
        <f t="shared" si="47"/>
        <v>0</v>
      </c>
      <c r="N263" s="5">
        <f t="shared" si="48"/>
        <v>0</v>
      </c>
      <c r="O263" s="5">
        <f t="shared" si="49"/>
        <v>0</v>
      </c>
      <c r="P263" s="5">
        <f t="shared" si="50"/>
        <v>0</v>
      </c>
      <c r="Q263" s="5">
        <f t="shared" si="51"/>
        <v>0</v>
      </c>
      <c r="R263" s="5">
        <f t="shared" si="52"/>
        <v>0</v>
      </c>
      <c r="S263" s="5">
        <f t="shared" si="53"/>
        <v>0</v>
      </c>
      <c r="T263" s="5">
        <f t="shared" si="54"/>
        <v>0</v>
      </c>
      <c r="U263" s="5">
        <f t="shared" si="55"/>
        <v>0</v>
      </c>
      <c r="V263" s="5">
        <f t="shared" si="43"/>
        <v>0</v>
      </c>
    </row>
    <row r="264" spans="1:22" ht="13.5" customHeight="1" x14ac:dyDescent="0.25">
      <c r="A264" s="594"/>
      <c r="B264" s="377"/>
      <c r="C264" s="377"/>
      <c r="D264" s="443">
        <f t="shared" si="42"/>
        <v>100</v>
      </c>
      <c r="E264" s="580"/>
      <c r="F264" s="580"/>
      <c r="J264" s="26">
        <f t="shared" si="44"/>
        <v>0</v>
      </c>
      <c r="K264" s="5">
        <f t="shared" si="45"/>
        <v>0</v>
      </c>
      <c r="L264" s="5">
        <f t="shared" si="46"/>
        <v>0</v>
      </c>
      <c r="M264" s="5">
        <f t="shared" si="47"/>
        <v>0</v>
      </c>
      <c r="N264" s="5">
        <f t="shared" si="48"/>
        <v>0</v>
      </c>
      <c r="O264" s="5">
        <f t="shared" si="49"/>
        <v>0</v>
      </c>
      <c r="P264" s="5">
        <f t="shared" si="50"/>
        <v>0</v>
      </c>
      <c r="Q264" s="5">
        <f t="shared" si="51"/>
        <v>0</v>
      </c>
      <c r="R264" s="5">
        <f t="shared" si="52"/>
        <v>0</v>
      </c>
      <c r="S264" s="5">
        <f t="shared" si="53"/>
        <v>0</v>
      </c>
      <c r="T264" s="5">
        <f t="shared" si="54"/>
        <v>0</v>
      </c>
      <c r="U264" s="5">
        <f t="shared" si="55"/>
        <v>0</v>
      </c>
      <c r="V264" s="5">
        <f t="shared" si="43"/>
        <v>0</v>
      </c>
    </row>
    <row r="265" spans="1:22" ht="13.5" customHeight="1" x14ac:dyDescent="0.25">
      <c r="A265" s="594"/>
      <c r="B265" s="377"/>
      <c r="C265" s="377"/>
      <c r="D265" s="443">
        <f t="shared" si="42"/>
        <v>100</v>
      </c>
      <c r="E265" s="580"/>
      <c r="F265" s="580"/>
      <c r="J265" s="26">
        <f t="shared" si="44"/>
        <v>0</v>
      </c>
      <c r="K265" s="5">
        <f t="shared" si="45"/>
        <v>0</v>
      </c>
      <c r="L265" s="5">
        <f t="shared" si="46"/>
        <v>0</v>
      </c>
      <c r="M265" s="5">
        <f t="shared" si="47"/>
        <v>0</v>
      </c>
      <c r="N265" s="5">
        <f t="shared" si="48"/>
        <v>0</v>
      </c>
      <c r="O265" s="5">
        <f t="shared" si="49"/>
        <v>0</v>
      </c>
      <c r="P265" s="5">
        <f t="shared" si="50"/>
        <v>0</v>
      </c>
      <c r="Q265" s="5">
        <f t="shared" si="51"/>
        <v>0</v>
      </c>
      <c r="R265" s="5">
        <f t="shared" si="52"/>
        <v>0</v>
      </c>
      <c r="S265" s="5">
        <f t="shared" si="53"/>
        <v>0</v>
      </c>
      <c r="T265" s="5">
        <f t="shared" si="54"/>
        <v>0</v>
      </c>
      <c r="U265" s="5">
        <f t="shared" si="55"/>
        <v>0</v>
      </c>
      <c r="V265" s="5">
        <f t="shared" si="43"/>
        <v>0</v>
      </c>
    </row>
    <row r="266" spans="1:22" ht="13.5" customHeight="1" x14ac:dyDescent="0.25">
      <c r="A266" s="594"/>
      <c r="B266" s="377"/>
      <c r="C266" s="377"/>
      <c r="D266" s="443">
        <f t="shared" si="42"/>
        <v>100</v>
      </c>
      <c r="E266" s="580"/>
      <c r="F266" s="580"/>
      <c r="J266" s="26">
        <f t="shared" si="44"/>
        <v>0</v>
      </c>
      <c r="K266" s="5">
        <f t="shared" si="45"/>
        <v>0</v>
      </c>
      <c r="L266" s="5">
        <f t="shared" si="46"/>
        <v>0</v>
      </c>
      <c r="M266" s="5">
        <f t="shared" si="47"/>
        <v>0</v>
      </c>
      <c r="N266" s="5">
        <f t="shared" si="48"/>
        <v>0</v>
      </c>
      <c r="O266" s="5">
        <f t="shared" si="49"/>
        <v>0</v>
      </c>
      <c r="P266" s="5">
        <f t="shared" si="50"/>
        <v>0</v>
      </c>
      <c r="Q266" s="5">
        <f t="shared" si="51"/>
        <v>0</v>
      </c>
      <c r="R266" s="5">
        <f t="shared" si="52"/>
        <v>0</v>
      </c>
      <c r="S266" s="5">
        <f t="shared" si="53"/>
        <v>0</v>
      </c>
      <c r="T266" s="5">
        <f t="shared" si="54"/>
        <v>0</v>
      </c>
      <c r="U266" s="5">
        <f t="shared" si="55"/>
        <v>0</v>
      </c>
      <c r="V266" s="5">
        <f t="shared" si="43"/>
        <v>0</v>
      </c>
    </row>
    <row r="267" spans="1:22" ht="13.5" customHeight="1" x14ac:dyDescent="0.25">
      <c r="A267" s="594"/>
      <c r="B267" s="377"/>
      <c r="C267" s="377"/>
      <c r="D267" s="443">
        <f t="shared" si="42"/>
        <v>100</v>
      </c>
      <c r="E267" s="580"/>
      <c r="F267" s="580"/>
      <c r="J267" s="26">
        <f t="shared" si="44"/>
        <v>0</v>
      </c>
      <c r="K267" s="5">
        <f t="shared" si="45"/>
        <v>0</v>
      </c>
      <c r="L267" s="5">
        <f t="shared" si="46"/>
        <v>0</v>
      </c>
      <c r="M267" s="5">
        <f t="shared" si="47"/>
        <v>0</v>
      </c>
      <c r="N267" s="5">
        <f t="shared" si="48"/>
        <v>0</v>
      </c>
      <c r="O267" s="5">
        <f t="shared" si="49"/>
        <v>0</v>
      </c>
      <c r="P267" s="5">
        <f t="shared" si="50"/>
        <v>0</v>
      </c>
      <c r="Q267" s="5">
        <f t="shared" si="51"/>
        <v>0</v>
      </c>
      <c r="R267" s="5">
        <f t="shared" si="52"/>
        <v>0</v>
      </c>
      <c r="S267" s="5">
        <f t="shared" si="53"/>
        <v>0</v>
      </c>
      <c r="T267" s="5">
        <f t="shared" si="54"/>
        <v>0</v>
      </c>
      <c r="U267" s="5">
        <f t="shared" si="55"/>
        <v>0</v>
      </c>
      <c r="V267" s="5">
        <f t="shared" si="43"/>
        <v>0</v>
      </c>
    </row>
    <row r="268" spans="1:22" ht="13.5" customHeight="1" x14ac:dyDescent="0.25">
      <c r="A268" s="594"/>
      <c r="B268" s="377"/>
      <c r="C268" s="377"/>
      <c r="D268" s="443">
        <f t="shared" si="42"/>
        <v>100</v>
      </c>
      <c r="E268" s="580"/>
      <c r="F268" s="580"/>
      <c r="J268" s="26">
        <f t="shared" si="44"/>
        <v>0</v>
      </c>
      <c r="K268" s="5">
        <f t="shared" si="45"/>
        <v>0</v>
      </c>
      <c r="L268" s="5">
        <f t="shared" si="46"/>
        <v>0</v>
      </c>
      <c r="M268" s="5">
        <f t="shared" si="47"/>
        <v>0</v>
      </c>
      <c r="N268" s="5">
        <f t="shared" si="48"/>
        <v>0</v>
      </c>
      <c r="O268" s="5">
        <f t="shared" si="49"/>
        <v>0</v>
      </c>
      <c r="P268" s="5">
        <f t="shared" si="50"/>
        <v>0</v>
      </c>
      <c r="Q268" s="5">
        <f t="shared" si="51"/>
        <v>0</v>
      </c>
      <c r="R268" s="5">
        <f t="shared" si="52"/>
        <v>0</v>
      </c>
      <c r="S268" s="5">
        <f t="shared" si="53"/>
        <v>0</v>
      </c>
      <c r="T268" s="5">
        <f t="shared" si="54"/>
        <v>0</v>
      </c>
      <c r="U268" s="5">
        <f t="shared" si="55"/>
        <v>0</v>
      </c>
      <c r="V268" s="5">
        <f t="shared" si="43"/>
        <v>0</v>
      </c>
    </row>
    <row r="269" spans="1:22" ht="13.5" customHeight="1" x14ac:dyDescent="0.25">
      <c r="A269" s="594"/>
      <c r="B269" s="377"/>
      <c r="C269" s="377"/>
      <c r="D269" s="443">
        <f t="shared" si="42"/>
        <v>100</v>
      </c>
      <c r="E269" s="580"/>
      <c r="F269" s="580"/>
      <c r="J269" s="26">
        <f t="shared" si="44"/>
        <v>0</v>
      </c>
      <c r="K269" s="5">
        <f t="shared" si="45"/>
        <v>0</v>
      </c>
      <c r="L269" s="5">
        <f t="shared" si="46"/>
        <v>0</v>
      </c>
      <c r="M269" s="5">
        <f t="shared" si="47"/>
        <v>0</v>
      </c>
      <c r="N269" s="5">
        <f t="shared" si="48"/>
        <v>0</v>
      </c>
      <c r="O269" s="5">
        <f t="shared" si="49"/>
        <v>0</v>
      </c>
      <c r="P269" s="5">
        <f t="shared" si="50"/>
        <v>0</v>
      </c>
      <c r="Q269" s="5">
        <f t="shared" si="51"/>
        <v>0</v>
      </c>
      <c r="R269" s="5">
        <f t="shared" si="52"/>
        <v>0</v>
      </c>
      <c r="S269" s="5">
        <f t="shared" si="53"/>
        <v>0</v>
      </c>
      <c r="T269" s="5">
        <f t="shared" si="54"/>
        <v>0</v>
      </c>
      <c r="U269" s="5">
        <f t="shared" si="55"/>
        <v>0</v>
      </c>
      <c r="V269" s="5">
        <f t="shared" si="43"/>
        <v>0</v>
      </c>
    </row>
    <row r="270" spans="1:22" ht="13.5" customHeight="1" x14ac:dyDescent="0.25">
      <c r="A270" s="594"/>
      <c r="B270" s="377"/>
      <c r="C270" s="377"/>
      <c r="D270" s="443">
        <f t="shared" si="42"/>
        <v>100</v>
      </c>
      <c r="E270" s="580"/>
      <c r="F270" s="580"/>
      <c r="J270" s="26">
        <f t="shared" si="44"/>
        <v>0</v>
      </c>
      <c r="K270" s="5">
        <f t="shared" si="45"/>
        <v>0</v>
      </c>
      <c r="L270" s="5">
        <f t="shared" si="46"/>
        <v>0</v>
      </c>
      <c r="M270" s="5">
        <f t="shared" si="47"/>
        <v>0</v>
      </c>
      <c r="N270" s="5">
        <f t="shared" si="48"/>
        <v>0</v>
      </c>
      <c r="O270" s="5">
        <f t="shared" si="49"/>
        <v>0</v>
      </c>
      <c r="P270" s="5">
        <f t="shared" si="50"/>
        <v>0</v>
      </c>
      <c r="Q270" s="5">
        <f t="shared" si="51"/>
        <v>0</v>
      </c>
      <c r="R270" s="5">
        <f t="shared" si="52"/>
        <v>0</v>
      </c>
      <c r="S270" s="5">
        <f t="shared" si="53"/>
        <v>0</v>
      </c>
      <c r="T270" s="5">
        <f t="shared" si="54"/>
        <v>0</v>
      </c>
      <c r="U270" s="5">
        <f t="shared" si="55"/>
        <v>0</v>
      </c>
      <c r="V270" s="5">
        <f t="shared" si="43"/>
        <v>0</v>
      </c>
    </row>
    <row r="271" spans="1:22" ht="13.5" customHeight="1" x14ac:dyDescent="0.25">
      <c r="A271" s="594"/>
      <c r="B271" s="377"/>
      <c r="C271" s="377"/>
      <c r="D271" s="443">
        <f t="shared" si="42"/>
        <v>100</v>
      </c>
      <c r="E271" s="580"/>
      <c r="F271" s="580"/>
      <c r="J271" s="26">
        <f t="shared" si="44"/>
        <v>0</v>
      </c>
      <c r="K271" s="5">
        <f t="shared" si="45"/>
        <v>0</v>
      </c>
      <c r="L271" s="5">
        <f t="shared" si="46"/>
        <v>0</v>
      </c>
      <c r="M271" s="5">
        <f t="shared" si="47"/>
        <v>0</v>
      </c>
      <c r="N271" s="5">
        <f t="shared" si="48"/>
        <v>0</v>
      </c>
      <c r="O271" s="5">
        <f t="shared" si="49"/>
        <v>0</v>
      </c>
      <c r="P271" s="5">
        <f t="shared" si="50"/>
        <v>0</v>
      </c>
      <c r="Q271" s="5">
        <f t="shared" si="51"/>
        <v>0</v>
      </c>
      <c r="R271" s="5">
        <f t="shared" si="52"/>
        <v>0</v>
      </c>
      <c r="S271" s="5">
        <f t="shared" si="53"/>
        <v>0</v>
      </c>
      <c r="T271" s="5">
        <f t="shared" si="54"/>
        <v>0</v>
      </c>
      <c r="U271" s="5">
        <f t="shared" si="55"/>
        <v>0</v>
      </c>
      <c r="V271" s="5">
        <f t="shared" si="43"/>
        <v>0</v>
      </c>
    </row>
    <row r="272" spans="1:22" ht="13.5" customHeight="1" x14ac:dyDescent="0.25">
      <c r="A272" s="594"/>
      <c r="B272" s="377"/>
      <c r="C272" s="377"/>
      <c r="D272" s="443">
        <f t="shared" si="42"/>
        <v>100</v>
      </c>
      <c r="E272" s="580"/>
      <c r="F272" s="580"/>
      <c r="J272" s="26">
        <f t="shared" si="44"/>
        <v>0</v>
      </c>
      <c r="K272" s="5">
        <f t="shared" si="45"/>
        <v>0</v>
      </c>
      <c r="L272" s="5">
        <f t="shared" si="46"/>
        <v>0</v>
      </c>
      <c r="M272" s="5">
        <f t="shared" si="47"/>
        <v>0</v>
      </c>
      <c r="N272" s="5">
        <f t="shared" si="48"/>
        <v>0</v>
      </c>
      <c r="O272" s="5">
        <f t="shared" si="49"/>
        <v>0</v>
      </c>
      <c r="P272" s="5">
        <f t="shared" si="50"/>
        <v>0</v>
      </c>
      <c r="Q272" s="5">
        <f t="shared" si="51"/>
        <v>0</v>
      </c>
      <c r="R272" s="5">
        <f t="shared" si="52"/>
        <v>0</v>
      </c>
      <c r="S272" s="5">
        <f t="shared" si="53"/>
        <v>0</v>
      </c>
      <c r="T272" s="5">
        <f t="shared" si="54"/>
        <v>0</v>
      </c>
      <c r="U272" s="5">
        <f t="shared" si="55"/>
        <v>0</v>
      </c>
      <c r="V272" s="5">
        <f t="shared" si="43"/>
        <v>0</v>
      </c>
    </row>
    <row r="273" spans="1:22" ht="13.5" customHeight="1" x14ac:dyDescent="0.25">
      <c r="A273" s="594"/>
      <c r="B273" s="377"/>
      <c r="C273" s="377"/>
      <c r="D273" s="443">
        <f t="shared" si="42"/>
        <v>100</v>
      </c>
      <c r="E273" s="580"/>
      <c r="F273" s="580"/>
      <c r="J273" s="26">
        <f t="shared" si="44"/>
        <v>0</v>
      </c>
      <c r="K273" s="5">
        <f t="shared" si="45"/>
        <v>0</v>
      </c>
      <c r="L273" s="5">
        <f t="shared" si="46"/>
        <v>0</v>
      </c>
      <c r="M273" s="5">
        <f t="shared" si="47"/>
        <v>0</v>
      </c>
      <c r="N273" s="5">
        <f t="shared" si="48"/>
        <v>0</v>
      </c>
      <c r="O273" s="5">
        <f t="shared" si="49"/>
        <v>0</v>
      </c>
      <c r="P273" s="5">
        <f t="shared" si="50"/>
        <v>0</v>
      </c>
      <c r="Q273" s="5">
        <f t="shared" si="51"/>
        <v>0</v>
      </c>
      <c r="R273" s="5">
        <f t="shared" si="52"/>
        <v>0</v>
      </c>
      <c r="S273" s="5">
        <f t="shared" si="53"/>
        <v>0</v>
      </c>
      <c r="T273" s="5">
        <f t="shared" si="54"/>
        <v>0</v>
      </c>
      <c r="U273" s="5">
        <f t="shared" si="55"/>
        <v>0</v>
      </c>
      <c r="V273" s="5">
        <f t="shared" si="43"/>
        <v>0</v>
      </c>
    </row>
    <row r="274" spans="1:22" ht="13.5" customHeight="1" x14ac:dyDescent="0.25">
      <c r="A274" s="594"/>
      <c r="B274" s="377"/>
      <c r="C274" s="377"/>
      <c r="D274" s="443">
        <f t="shared" si="42"/>
        <v>100</v>
      </c>
      <c r="E274" s="580"/>
      <c r="F274" s="580"/>
      <c r="J274" s="26">
        <f t="shared" si="44"/>
        <v>0</v>
      </c>
      <c r="K274" s="5">
        <f t="shared" si="45"/>
        <v>0</v>
      </c>
      <c r="L274" s="5">
        <f t="shared" si="46"/>
        <v>0</v>
      </c>
      <c r="M274" s="5">
        <f t="shared" si="47"/>
        <v>0</v>
      </c>
      <c r="N274" s="5">
        <f t="shared" si="48"/>
        <v>0</v>
      </c>
      <c r="O274" s="5">
        <f t="shared" si="49"/>
        <v>0</v>
      </c>
      <c r="P274" s="5">
        <f t="shared" si="50"/>
        <v>0</v>
      </c>
      <c r="Q274" s="5">
        <f t="shared" si="51"/>
        <v>0</v>
      </c>
      <c r="R274" s="5">
        <f t="shared" si="52"/>
        <v>0</v>
      </c>
      <c r="S274" s="5">
        <f t="shared" si="53"/>
        <v>0</v>
      </c>
      <c r="T274" s="5">
        <f t="shared" si="54"/>
        <v>0</v>
      </c>
      <c r="U274" s="5">
        <f t="shared" si="55"/>
        <v>0</v>
      </c>
      <c r="V274" s="5">
        <f t="shared" si="43"/>
        <v>0</v>
      </c>
    </row>
    <row r="275" spans="1:22" ht="13.5" customHeight="1" x14ac:dyDescent="0.25">
      <c r="A275" s="594"/>
      <c r="B275" s="377"/>
      <c r="C275" s="377"/>
      <c r="D275" s="443">
        <f t="shared" si="42"/>
        <v>100</v>
      </c>
      <c r="E275" s="580"/>
      <c r="F275" s="580"/>
      <c r="J275" s="26">
        <f t="shared" si="44"/>
        <v>0</v>
      </c>
      <c r="K275" s="5">
        <f t="shared" si="45"/>
        <v>0</v>
      </c>
      <c r="L275" s="5">
        <f t="shared" si="46"/>
        <v>0</v>
      </c>
      <c r="M275" s="5">
        <f t="shared" si="47"/>
        <v>0</v>
      </c>
      <c r="N275" s="5">
        <f t="shared" si="48"/>
        <v>0</v>
      </c>
      <c r="O275" s="5">
        <f t="shared" si="49"/>
        <v>0</v>
      </c>
      <c r="P275" s="5">
        <f t="shared" si="50"/>
        <v>0</v>
      </c>
      <c r="Q275" s="5">
        <f t="shared" si="51"/>
        <v>0</v>
      </c>
      <c r="R275" s="5">
        <f t="shared" si="52"/>
        <v>0</v>
      </c>
      <c r="S275" s="5">
        <f t="shared" si="53"/>
        <v>0</v>
      </c>
      <c r="T275" s="5">
        <f t="shared" si="54"/>
        <v>0</v>
      </c>
      <c r="U275" s="5">
        <f t="shared" si="55"/>
        <v>0</v>
      </c>
      <c r="V275" s="5">
        <f t="shared" si="43"/>
        <v>0</v>
      </c>
    </row>
    <row r="276" spans="1:22" ht="13.5" customHeight="1" x14ac:dyDescent="0.25">
      <c r="A276" s="594"/>
      <c r="B276" s="377"/>
      <c r="C276" s="377"/>
      <c r="D276" s="443">
        <f t="shared" si="42"/>
        <v>100</v>
      </c>
      <c r="E276" s="580"/>
      <c r="F276" s="580"/>
      <c r="J276" s="26">
        <f t="shared" si="44"/>
        <v>0</v>
      </c>
      <c r="K276" s="5">
        <f t="shared" si="45"/>
        <v>0</v>
      </c>
      <c r="L276" s="5">
        <f t="shared" si="46"/>
        <v>0</v>
      </c>
      <c r="M276" s="5">
        <f t="shared" si="47"/>
        <v>0</v>
      </c>
      <c r="N276" s="5">
        <f t="shared" si="48"/>
        <v>0</v>
      </c>
      <c r="O276" s="5">
        <f t="shared" si="49"/>
        <v>0</v>
      </c>
      <c r="P276" s="5">
        <f t="shared" si="50"/>
        <v>0</v>
      </c>
      <c r="Q276" s="5">
        <f t="shared" si="51"/>
        <v>0</v>
      </c>
      <c r="R276" s="5">
        <f t="shared" si="52"/>
        <v>0</v>
      </c>
      <c r="S276" s="5">
        <f t="shared" si="53"/>
        <v>0</v>
      </c>
      <c r="T276" s="5">
        <f t="shared" si="54"/>
        <v>0</v>
      </c>
      <c r="U276" s="5">
        <f t="shared" si="55"/>
        <v>0</v>
      </c>
      <c r="V276" s="5">
        <f t="shared" si="43"/>
        <v>0</v>
      </c>
    </row>
    <row r="277" spans="1:22" ht="13.5" customHeight="1" x14ac:dyDescent="0.25">
      <c r="A277" s="594"/>
      <c r="B277" s="377"/>
      <c r="C277" s="377"/>
      <c r="D277" s="443">
        <f t="shared" si="42"/>
        <v>100</v>
      </c>
      <c r="E277" s="580"/>
      <c r="F277" s="580"/>
      <c r="J277" s="26">
        <f t="shared" si="44"/>
        <v>0</v>
      </c>
      <c r="K277" s="5">
        <f t="shared" si="45"/>
        <v>0</v>
      </c>
      <c r="L277" s="5">
        <f t="shared" si="46"/>
        <v>0</v>
      </c>
      <c r="M277" s="5">
        <f t="shared" si="47"/>
        <v>0</v>
      </c>
      <c r="N277" s="5">
        <f t="shared" si="48"/>
        <v>0</v>
      </c>
      <c r="O277" s="5">
        <f t="shared" si="49"/>
        <v>0</v>
      </c>
      <c r="P277" s="5">
        <f t="shared" si="50"/>
        <v>0</v>
      </c>
      <c r="Q277" s="5">
        <f t="shared" si="51"/>
        <v>0</v>
      </c>
      <c r="R277" s="5">
        <f t="shared" si="52"/>
        <v>0</v>
      </c>
      <c r="S277" s="5">
        <f t="shared" si="53"/>
        <v>0</v>
      </c>
      <c r="T277" s="5">
        <f t="shared" si="54"/>
        <v>0</v>
      </c>
      <c r="U277" s="5">
        <f t="shared" si="55"/>
        <v>0</v>
      </c>
      <c r="V277" s="5">
        <f t="shared" si="43"/>
        <v>0</v>
      </c>
    </row>
    <row r="278" spans="1:22" ht="13.5" customHeight="1" x14ac:dyDescent="0.25">
      <c r="A278" s="594"/>
      <c r="B278" s="377"/>
      <c r="C278" s="377"/>
      <c r="D278" s="443">
        <f t="shared" si="42"/>
        <v>100</v>
      </c>
      <c r="E278" s="580"/>
      <c r="F278" s="580"/>
      <c r="J278" s="26">
        <f t="shared" si="44"/>
        <v>0</v>
      </c>
      <c r="K278" s="5">
        <f t="shared" si="45"/>
        <v>0</v>
      </c>
      <c r="L278" s="5">
        <f t="shared" si="46"/>
        <v>0</v>
      </c>
      <c r="M278" s="5">
        <f t="shared" si="47"/>
        <v>0</v>
      </c>
      <c r="N278" s="5">
        <f t="shared" si="48"/>
        <v>0</v>
      </c>
      <c r="O278" s="5">
        <f t="shared" si="49"/>
        <v>0</v>
      </c>
      <c r="P278" s="5">
        <f t="shared" si="50"/>
        <v>0</v>
      </c>
      <c r="Q278" s="5">
        <f t="shared" si="51"/>
        <v>0</v>
      </c>
      <c r="R278" s="5">
        <f t="shared" si="52"/>
        <v>0</v>
      </c>
      <c r="S278" s="5">
        <f t="shared" si="53"/>
        <v>0</v>
      </c>
      <c r="T278" s="5">
        <f t="shared" si="54"/>
        <v>0</v>
      </c>
      <c r="U278" s="5">
        <f t="shared" si="55"/>
        <v>0</v>
      </c>
      <c r="V278" s="5">
        <f t="shared" si="43"/>
        <v>0</v>
      </c>
    </row>
    <row r="279" spans="1:22" ht="13.5" customHeight="1" x14ac:dyDescent="0.25">
      <c r="A279" s="594"/>
      <c r="B279" s="377"/>
      <c r="C279" s="377"/>
      <c r="D279" s="443">
        <f t="shared" si="42"/>
        <v>100</v>
      </c>
      <c r="E279" s="580"/>
      <c r="F279" s="580"/>
      <c r="J279" s="26">
        <f t="shared" si="44"/>
        <v>0</v>
      </c>
      <c r="K279" s="5">
        <f t="shared" si="45"/>
        <v>0</v>
      </c>
      <c r="L279" s="5">
        <f t="shared" si="46"/>
        <v>0</v>
      </c>
      <c r="M279" s="5">
        <f t="shared" si="47"/>
        <v>0</v>
      </c>
      <c r="N279" s="5">
        <f t="shared" si="48"/>
        <v>0</v>
      </c>
      <c r="O279" s="5">
        <f t="shared" si="49"/>
        <v>0</v>
      </c>
      <c r="P279" s="5">
        <f t="shared" si="50"/>
        <v>0</v>
      </c>
      <c r="Q279" s="5">
        <f t="shared" si="51"/>
        <v>0</v>
      </c>
      <c r="R279" s="5">
        <f t="shared" si="52"/>
        <v>0</v>
      </c>
      <c r="S279" s="5">
        <f t="shared" si="53"/>
        <v>0</v>
      </c>
      <c r="T279" s="5">
        <f t="shared" si="54"/>
        <v>0</v>
      </c>
      <c r="U279" s="5">
        <f t="shared" si="55"/>
        <v>0</v>
      </c>
      <c r="V279" s="5">
        <f t="shared" si="43"/>
        <v>0</v>
      </c>
    </row>
    <row r="280" spans="1:22" ht="13.5" customHeight="1" x14ac:dyDescent="0.25">
      <c r="A280" s="594"/>
      <c r="B280" s="377"/>
      <c r="C280" s="377"/>
      <c r="D280" s="443">
        <f t="shared" si="42"/>
        <v>100</v>
      </c>
      <c r="E280" s="580"/>
      <c r="F280" s="580"/>
      <c r="J280" s="26">
        <f t="shared" si="44"/>
        <v>0</v>
      </c>
      <c r="K280" s="5">
        <f t="shared" si="45"/>
        <v>0</v>
      </c>
      <c r="L280" s="5">
        <f t="shared" si="46"/>
        <v>0</v>
      </c>
      <c r="M280" s="5">
        <f t="shared" si="47"/>
        <v>0</v>
      </c>
      <c r="N280" s="5">
        <f t="shared" si="48"/>
        <v>0</v>
      </c>
      <c r="O280" s="5">
        <f t="shared" si="49"/>
        <v>0</v>
      </c>
      <c r="P280" s="5">
        <f t="shared" si="50"/>
        <v>0</v>
      </c>
      <c r="Q280" s="5">
        <f t="shared" si="51"/>
        <v>0</v>
      </c>
      <c r="R280" s="5">
        <f t="shared" si="52"/>
        <v>0</v>
      </c>
      <c r="S280" s="5">
        <f t="shared" si="53"/>
        <v>0</v>
      </c>
      <c r="T280" s="5">
        <f t="shared" si="54"/>
        <v>0</v>
      </c>
      <c r="U280" s="5">
        <f t="shared" si="55"/>
        <v>0</v>
      </c>
      <c r="V280" s="5">
        <f t="shared" si="43"/>
        <v>0</v>
      </c>
    </row>
    <row r="281" spans="1:22" ht="13.5" customHeight="1" x14ac:dyDescent="0.25">
      <c r="A281" s="594"/>
      <c r="B281" s="377"/>
      <c r="C281" s="377"/>
      <c r="D281" s="443">
        <f t="shared" si="42"/>
        <v>100</v>
      </c>
      <c r="E281" s="580"/>
      <c r="F281" s="580"/>
      <c r="J281" s="26">
        <f t="shared" si="44"/>
        <v>0</v>
      </c>
      <c r="K281" s="5">
        <f t="shared" si="45"/>
        <v>0</v>
      </c>
      <c r="L281" s="5">
        <f t="shared" si="46"/>
        <v>0</v>
      </c>
      <c r="M281" s="5">
        <f t="shared" si="47"/>
        <v>0</v>
      </c>
      <c r="N281" s="5">
        <f t="shared" si="48"/>
        <v>0</v>
      </c>
      <c r="O281" s="5">
        <f t="shared" si="49"/>
        <v>0</v>
      </c>
      <c r="P281" s="5">
        <f t="shared" si="50"/>
        <v>0</v>
      </c>
      <c r="Q281" s="5">
        <f t="shared" si="51"/>
        <v>0</v>
      </c>
      <c r="R281" s="5">
        <f t="shared" si="52"/>
        <v>0</v>
      </c>
      <c r="S281" s="5">
        <f t="shared" si="53"/>
        <v>0</v>
      </c>
      <c r="T281" s="5">
        <f t="shared" si="54"/>
        <v>0</v>
      </c>
      <c r="U281" s="5">
        <f t="shared" si="55"/>
        <v>0</v>
      </c>
      <c r="V281" s="5">
        <f t="shared" si="43"/>
        <v>0</v>
      </c>
    </row>
    <row r="282" spans="1:22" ht="13.5" customHeight="1" x14ac:dyDescent="0.25">
      <c r="A282" s="594"/>
      <c r="B282" s="377"/>
      <c r="C282" s="377"/>
      <c r="D282" s="443">
        <f t="shared" ref="D282:D345" si="56">B282-C282+D281</f>
        <v>100</v>
      </c>
      <c r="E282" s="580"/>
      <c r="F282" s="580"/>
      <c r="J282" s="26">
        <f t="shared" si="44"/>
        <v>0</v>
      </c>
      <c r="K282" s="5">
        <f t="shared" si="45"/>
        <v>0</v>
      </c>
      <c r="L282" s="5">
        <f t="shared" si="46"/>
        <v>0</v>
      </c>
      <c r="M282" s="5">
        <f t="shared" si="47"/>
        <v>0</v>
      </c>
      <c r="N282" s="5">
        <f t="shared" si="48"/>
        <v>0</v>
      </c>
      <c r="O282" s="5">
        <f t="shared" si="49"/>
        <v>0</v>
      </c>
      <c r="P282" s="5">
        <f t="shared" si="50"/>
        <v>0</v>
      </c>
      <c r="Q282" s="5">
        <f t="shared" si="51"/>
        <v>0</v>
      </c>
      <c r="R282" s="5">
        <f t="shared" si="52"/>
        <v>0</v>
      </c>
      <c r="S282" s="5">
        <f t="shared" si="53"/>
        <v>0</v>
      </c>
      <c r="T282" s="5">
        <f t="shared" si="54"/>
        <v>0</v>
      </c>
      <c r="U282" s="5">
        <f t="shared" si="55"/>
        <v>0</v>
      </c>
      <c r="V282" s="5">
        <f t="shared" ref="V282:V345" si="57">IF(E282="Catch Up XP",C282,0)</f>
        <v>0</v>
      </c>
    </row>
    <row r="283" spans="1:22" ht="13.5" customHeight="1" x14ac:dyDescent="0.25">
      <c r="A283" s="594"/>
      <c r="B283" s="377"/>
      <c r="C283" s="377"/>
      <c r="D283" s="443">
        <f t="shared" si="56"/>
        <v>100</v>
      </c>
      <c r="E283" s="580"/>
      <c r="F283" s="580"/>
      <c r="J283" s="26">
        <f t="shared" ref="J283:J346" si="58">IF(E283="Attributes",C283,0)</f>
        <v>0</v>
      </c>
      <c r="K283" s="5">
        <f t="shared" ref="K283:K346" si="59">IF(E283="Skills",C283,0)</f>
        <v>0</v>
      </c>
      <c r="L283" s="5">
        <f t="shared" ref="L283:L346" si="60">IF(E283="Specialization",C283,0)</f>
        <v>0</v>
      </c>
      <c r="M283" s="5">
        <f t="shared" ref="M283:M346" si="61">IF(E283="Blood Potency",C283,0)</f>
        <v>0</v>
      </c>
      <c r="N283" s="5">
        <f t="shared" ref="N283:N346" si="62">IF(E283="Merits",C283,0)</f>
        <v>0</v>
      </c>
      <c r="O283" s="5">
        <f t="shared" ref="O283:O346" si="63">IF(E283="Lost Merits",C283,0)</f>
        <v>0</v>
      </c>
      <c r="P283" s="5">
        <f t="shared" ref="P283:P346" si="64">IF(E283="Disciplines",C283,0)</f>
        <v>0</v>
      </c>
      <c r="Q283" s="5">
        <f t="shared" ref="Q283:Q346" si="65">IF(E283="Rituals",C283,0)</f>
        <v>0</v>
      </c>
      <c r="R283" s="5">
        <f t="shared" ref="R283:R346" si="66">IF(E283="Devotions",C283,0)</f>
        <v>0</v>
      </c>
      <c r="S283" s="5">
        <f t="shared" ref="S283:S346" si="67">IF(E283="Willpower",C283,0)</f>
        <v>0</v>
      </c>
      <c r="T283" s="5">
        <f t="shared" ref="T283:T346" si="68">IF(E283="Humanity",C283,0)</f>
        <v>0</v>
      </c>
      <c r="U283" s="5">
        <f t="shared" ref="U283:U346" si="69">IF(E283="Oaths",C283,0)</f>
        <v>0</v>
      </c>
      <c r="V283" s="5">
        <f t="shared" si="57"/>
        <v>0</v>
      </c>
    </row>
    <row r="284" spans="1:22" ht="13.5" customHeight="1" x14ac:dyDescent="0.25">
      <c r="A284" s="594"/>
      <c r="B284" s="377"/>
      <c r="C284" s="377"/>
      <c r="D284" s="443">
        <f t="shared" si="56"/>
        <v>100</v>
      </c>
      <c r="E284" s="580"/>
      <c r="F284" s="580"/>
      <c r="J284" s="26">
        <f t="shared" si="58"/>
        <v>0</v>
      </c>
      <c r="K284" s="5">
        <f t="shared" si="59"/>
        <v>0</v>
      </c>
      <c r="L284" s="5">
        <f t="shared" si="60"/>
        <v>0</v>
      </c>
      <c r="M284" s="5">
        <f t="shared" si="61"/>
        <v>0</v>
      </c>
      <c r="N284" s="5">
        <f t="shared" si="62"/>
        <v>0</v>
      </c>
      <c r="O284" s="5">
        <f t="shared" si="63"/>
        <v>0</v>
      </c>
      <c r="P284" s="5">
        <f t="shared" si="64"/>
        <v>0</v>
      </c>
      <c r="Q284" s="5">
        <f t="shared" si="65"/>
        <v>0</v>
      </c>
      <c r="R284" s="5">
        <f t="shared" si="66"/>
        <v>0</v>
      </c>
      <c r="S284" s="5">
        <f t="shared" si="67"/>
        <v>0</v>
      </c>
      <c r="T284" s="5">
        <f t="shared" si="68"/>
        <v>0</v>
      </c>
      <c r="U284" s="5">
        <f t="shared" si="69"/>
        <v>0</v>
      </c>
      <c r="V284" s="5">
        <f t="shared" si="57"/>
        <v>0</v>
      </c>
    </row>
    <row r="285" spans="1:22" ht="13.5" customHeight="1" x14ac:dyDescent="0.25">
      <c r="A285" s="594"/>
      <c r="B285" s="377"/>
      <c r="C285" s="377"/>
      <c r="D285" s="443">
        <f t="shared" si="56"/>
        <v>100</v>
      </c>
      <c r="E285" s="580"/>
      <c r="F285" s="580"/>
      <c r="J285" s="26">
        <f t="shared" si="58"/>
        <v>0</v>
      </c>
      <c r="K285" s="5">
        <f t="shared" si="59"/>
        <v>0</v>
      </c>
      <c r="L285" s="5">
        <f t="shared" si="60"/>
        <v>0</v>
      </c>
      <c r="M285" s="5">
        <f t="shared" si="61"/>
        <v>0</v>
      </c>
      <c r="N285" s="5">
        <f t="shared" si="62"/>
        <v>0</v>
      </c>
      <c r="O285" s="5">
        <f t="shared" si="63"/>
        <v>0</v>
      </c>
      <c r="P285" s="5">
        <f t="shared" si="64"/>
        <v>0</v>
      </c>
      <c r="Q285" s="5">
        <f t="shared" si="65"/>
        <v>0</v>
      </c>
      <c r="R285" s="5">
        <f t="shared" si="66"/>
        <v>0</v>
      </c>
      <c r="S285" s="5">
        <f t="shared" si="67"/>
        <v>0</v>
      </c>
      <c r="T285" s="5">
        <f t="shared" si="68"/>
        <v>0</v>
      </c>
      <c r="U285" s="5">
        <f t="shared" si="69"/>
        <v>0</v>
      </c>
      <c r="V285" s="5">
        <f t="shared" si="57"/>
        <v>0</v>
      </c>
    </row>
    <row r="286" spans="1:22" ht="13.5" customHeight="1" x14ac:dyDescent="0.25">
      <c r="A286" s="594"/>
      <c r="B286" s="377"/>
      <c r="C286" s="377"/>
      <c r="D286" s="443">
        <f t="shared" si="56"/>
        <v>100</v>
      </c>
      <c r="E286" s="580"/>
      <c r="F286" s="580"/>
      <c r="J286" s="26">
        <f t="shared" si="58"/>
        <v>0</v>
      </c>
      <c r="K286" s="5">
        <f t="shared" si="59"/>
        <v>0</v>
      </c>
      <c r="L286" s="5">
        <f t="shared" si="60"/>
        <v>0</v>
      </c>
      <c r="M286" s="5">
        <f t="shared" si="61"/>
        <v>0</v>
      </c>
      <c r="N286" s="5">
        <f t="shared" si="62"/>
        <v>0</v>
      </c>
      <c r="O286" s="5">
        <f t="shared" si="63"/>
        <v>0</v>
      </c>
      <c r="P286" s="5">
        <f t="shared" si="64"/>
        <v>0</v>
      </c>
      <c r="Q286" s="5">
        <f t="shared" si="65"/>
        <v>0</v>
      </c>
      <c r="R286" s="5">
        <f t="shared" si="66"/>
        <v>0</v>
      </c>
      <c r="S286" s="5">
        <f t="shared" si="67"/>
        <v>0</v>
      </c>
      <c r="T286" s="5">
        <f t="shared" si="68"/>
        <v>0</v>
      </c>
      <c r="U286" s="5">
        <f t="shared" si="69"/>
        <v>0</v>
      </c>
      <c r="V286" s="5">
        <f t="shared" si="57"/>
        <v>0</v>
      </c>
    </row>
    <row r="287" spans="1:22" ht="13.5" customHeight="1" x14ac:dyDescent="0.25">
      <c r="A287" s="594"/>
      <c r="B287" s="377"/>
      <c r="C287" s="377"/>
      <c r="D287" s="443">
        <f t="shared" si="56"/>
        <v>100</v>
      </c>
      <c r="E287" s="580"/>
      <c r="F287" s="580"/>
      <c r="J287" s="26">
        <f t="shared" si="58"/>
        <v>0</v>
      </c>
      <c r="K287" s="5">
        <f t="shared" si="59"/>
        <v>0</v>
      </c>
      <c r="L287" s="5">
        <f t="shared" si="60"/>
        <v>0</v>
      </c>
      <c r="M287" s="5">
        <f t="shared" si="61"/>
        <v>0</v>
      </c>
      <c r="N287" s="5">
        <f t="shared" si="62"/>
        <v>0</v>
      </c>
      <c r="O287" s="5">
        <f t="shared" si="63"/>
        <v>0</v>
      </c>
      <c r="P287" s="5">
        <f t="shared" si="64"/>
        <v>0</v>
      </c>
      <c r="Q287" s="5">
        <f t="shared" si="65"/>
        <v>0</v>
      </c>
      <c r="R287" s="5">
        <f t="shared" si="66"/>
        <v>0</v>
      </c>
      <c r="S287" s="5">
        <f t="shared" si="67"/>
        <v>0</v>
      </c>
      <c r="T287" s="5">
        <f t="shared" si="68"/>
        <v>0</v>
      </c>
      <c r="U287" s="5">
        <f t="shared" si="69"/>
        <v>0</v>
      </c>
      <c r="V287" s="5">
        <f t="shared" si="57"/>
        <v>0</v>
      </c>
    </row>
    <row r="288" spans="1:22" ht="13.5" customHeight="1" x14ac:dyDescent="0.25">
      <c r="A288" s="594"/>
      <c r="B288" s="377"/>
      <c r="C288" s="377"/>
      <c r="D288" s="443">
        <f t="shared" si="56"/>
        <v>100</v>
      </c>
      <c r="E288" s="580"/>
      <c r="F288" s="580"/>
      <c r="J288" s="26">
        <f t="shared" si="58"/>
        <v>0</v>
      </c>
      <c r="K288" s="5">
        <f t="shared" si="59"/>
        <v>0</v>
      </c>
      <c r="L288" s="5">
        <f t="shared" si="60"/>
        <v>0</v>
      </c>
      <c r="M288" s="5">
        <f t="shared" si="61"/>
        <v>0</v>
      </c>
      <c r="N288" s="5">
        <f t="shared" si="62"/>
        <v>0</v>
      </c>
      <c r="O288" s="5">
        <f t="shared" si="63"/>
        <v>0</v>
      </c>
      <c r="P288" s="5">
        <f t="shared" si="64"/>
        <v>0</v>
      </c>
      <c r="Q288" s="5">
        <f t="shared" si="65"/>
        <v>0</v>
      </c>
      <c r="R288" s="5">
        <f t="shared" si="66"/>
        <v>0</v>
      </c>
      <c r="S288" s="5">
        <f t="shared" si="67"/>
        <v>0</v>
      </c>
      <c r="T288" s="5">
        <f t="shared" si="68"/>
        <v>0</v>
      </c>
      <c r="U288" s="5">
        <f t="shared" si="69"/>
        <v>0</v>
      </c>
      <c r="V288" s="5">
        <f t="shared" si="57"/>
        <v>0</v>
      </c>
    </row>
    <row r="289" spans="1:22" ht="13.5" customHeight="1" x14ac:dyDescent="0.25">
      <c r="A289" s="594"/>
      <c r="B289" s="377"/>
      <c r="C289" s="377"/>
      <c r="D289" s="443">
        <f t="shared" si="56"/>
        <v>100</v>
      </c>
      <c r="E289" s="580"/>
      <c r="F289" s="580"/>
      <c r="J289" s="26">
        <f t="shared" si="58"/>
        <v>0</v>
      </c>
      <c r="K289" s="5">
        <f t="shared" si="59"/>
        <v>0</v>
      </c>
      <c r="L289" s="5">
        <f t="shared" si="60"/>
        <v>0</v>
      </c>
      <c r="M289" s="5">
        <f t="shared" si="61"/>
        <v>0</v>
      </c>
      <c r="N289" s="5">
        <f t="shared" si="62"/>
        <v>0</v>
      </c>
      <c r="O289" s="5">
        <f t="shared" si="63"/>
        <v>0</v>
      </c>
      <c r="P289" s="5">
        <f t="shared" si="64"/>
        <v>0</v>
      </c>
      <c r="Q289" s="5">
        <f t="shared" si="65"/>
        <v>0</v>
      </c>
      <c r="R289" s="5">
        <f t="shared" si="66"/>
        <v>0</v>
      </c>
      <c r="S289" s="5">
        <f t="shared" si="67"/>
        <v>0</v>
      </c>
      <c r="T289" s="5">
        <f t="shared" si="68"/>
        <v>0</v>
      </c>
      <c r="U289" s="5">
        <f t="shared" si="69"/>
        <v>0</v>
      </c>
      <c r="V289" s="5">
        <f t="shared" si="57"/>
        <v>0</v>
      </c>
    </row>
    <row r="290" spans="1:22" ht="13.5" customHeight="1" x14ac:dyDescent="0.25">
      <c r="A290" s="594"/>
      <c r="B290" s="377"/>
      <c r="C290" s="377"/>
      <c r="D290" s="443">
        <f t="shared" si="56"/>
        <v>100</v>
      </c>
      <c r="E290" s="580"/>
      <c r="F290" s="580"/>
      <c r="J290" s="26">
        <f t="shared" si="58"/>
        <v>0</v>
      </c>
      <c r="K290" s="5">
        <f t="shared" si="59"/>
        <v>0</v>
      </c>
      <c r="L290" s="5">
        <f t="shared" si="60"/>
        <v>0</v>
      </c>
      <c r="M290" s="5">
        <f t="shared" si="61"/>
        <v>0</v>
      </c>
      <c r="N290" s="5">
        <f t="shared" si="62"/>
        <v>0</v>
      </c>
      <c r="O290" s="5">
        <f t="shared" si="63"/>
        <v>0</v>
      </c>
      <c r="P290" s="5">
        <f t="shared" si="64"/>
        <v>0</v>
      </c>
      <c r="Q290" s="5">
        <f t="shared" si="65"/>
        <v>0</v>
      </c>
      <c r="R290" s="5">
        <f t="shared" si="66"/>
        <v>0</v>
      </c>
      <c r="S290" s="5">
        <f t="shared" si="67"/>
        <v>0</v>
      </c>
      <c r="T290" s="5">
        <f t="shared" si="68"/>
        <v>0</v>
      </c>
      <c r="U290" s="5">
        <f t="shared" si="69"/>
        <v>0</v>
      </c>
      <c r="V290" s="5">
        <f t="shared" si="57"/>
        <v>0</v>
      </c>
    </row>
    <row r="291" spans="1:22" ht="13.5" customHeight="1" x14ac:dyDescent="0.25">
      <c r="A291" s="594"/>
      <c r="B291" s="377"/>
      <c r="C291" s="377"/>
      <c r="D291" s="443">
        <f t="shared" si="56"/>
        <v>100</v>
      </c>
      <c r="E291" s="580"/>
      <c r="F291" s="580"/>
      <c r="J291" s="26">
        <f t="shared" si="58"/>
        <v>0</v>
      </c>
      <c r="K291" s="5">
        <f t="shared" si="59"/>
        <v>0</v>
      </c>
      <c r="L291" s="5">
        <f t="shared" si="60"/>
        <v>0</v>
      </c>
      <c r="M291" s="5">
        <f t="shared" si="61"/>
        <v>0</v>
      </c>
      <c r="N291" s="5">
        <f t="shared" si="62"/>
        <v>0</v>
      </c>
      <c r="O291" s="5">
        <f t="shared" si="63"/>
        <v>0</v>
      </c>
      <c r="P291" s="5">
        <f t="shared" si="64"/>
        <v>0</v>
      </c>
      <c r="Q291" s="5">
        <f t="shared" si="65"/>
        <v>0</v>
      </c>
      <c r="R291" s="5">
        <f t="shared" si="66"/>
        <v>0</v>
      </c>
      <c r="S291" s="5">
        <f t="shared" si="67"/>
        <v>0</v>
      </c>
      <c r="T291" s="5">
        <f t="shared" si="68"/>
        <v>0</v>
      </c>
      <c r="U291" s="5">
        <f t="shared" si="69"/>
        <v>0</v>
      </c>
      <c r="V291" s="5">
        <f t="shared" si="57"/>
        <v>0</v>
      </c>
    </row>
    <row r="292" spans="1:22" ht="13.5" customHeight="1" x14ac:dyDescent="0.25">
      <c r="A292" s="594"/>
      <c r="B292" s="377"/>
      <c r="C292" s="377"/>
      <c r="D292" s="443">
        <f t="shared" si="56"/>
        <v>100</v>
      </c>
      <c r="E292" s="580"/>
      <c r="F292" s="580"/>
      <c r="J292" s="26">
        <f t="shared" si="58"/>
        <v>0</v>
      </c>
      <c r="K292" s="5">
        <f t="shared" si="59"/>
        <v>0</v>
      </c>
      <c r="L292" s="5">
        <f t="shared" si="60"/>
        <v>0</v>
      </c>
      <c r="M292" s="5">
        <f t="shared" si="61"/>
        <v>0</v>
      </c>
      <c r="N292" s="5">
        <f t="shared" si="62"/>
        <v>0</v>
      </c>
      <c r="O292" s="5">
        <f t="shared" si="63"/>
        <v>0</v>
      </c>
      <c r="P292" s="5">
        <f t="shared" si="64"/>
        <v>0</v>
      </c>
      <c r="Q292" s="5">
        <f t="shared" si="65"/>
        <v>0</v>
      </c>
      <c r="R292" s="5">
        <f t="shared" si="66"/>
        <v>0</v>
      </c>
      <c r="S292" s="5">
        <f t="shared" si="67"/>
        <v>0</v>
      </c>
      <c r="T292" s="5">
        <f t="shared" si="68"/>
        <v>0</v>
      </c>
      <c r="U292" s="5">
        <f t="shared" si="69"/>
        <v>0</v>
      </c>
      <c r="V292" s="5">
        <f t="shared" si="57"/>
        <v>0</v>
      </c>
    </row>
    <row r="293" spans="1:22" ht="13.5" customHeight="1" x14ac:dyDescent="0.25">
      <c r="A293" s="594"/>
      <c r="B293" s="377"/>
      <c r="C293" s="377"/>
      <c r="D293" s="443">
        <f t="shared" si="56"/>
        <v>100</v>
      </c>
      <c r="E293" s="580"/>
      <c r="F293" s="580"/>
      <c r="J293" s="26">
        <f t="shared" si="58"/>
        <v>0</v>
      </c>
      <c r="K293" s="5">
        <f t="shared" si="59"/>
        <v>0</v>
      </c>
      <c r="L293" s="5">
        <f t="shared" si="60"/>
        <v>0</v>
      </c>
      <c r="M293" s="5">
        <f t="shared" si="61"/>
        <v>0</v>
      </c>
      <c r="N293" s="5">
        <f t="shared" si="62"/>
        <v>0</v>
      </c>
      <c r="O293" s="5">
        <f t="shared" si="63"/>
        <v>0</v>
      </c>
      <c r="P293" s="5">
        <f t="shared" si="64"/>
        <v>0</v>
      </c>
      <c r="Q293" s="5">
        <f t="shared" si="65"/>
        <v>0</v>
      </c>
      <c r="R293" s="5">
        <f t="shared" si="66"/>
        <v>0</v>
      </c>
      <c r="S293" s="5">
        <f t="shared" si="67"/>
        <v>0</v>
      </c>
      <c r="T293" s="5">
        <f t="shared" si="68"/>
        <v>0</v>
      </c>
      <c r="U293" s="5">
        <f t="shared" si="69"/>
        <v>0</v>
      </c>
      <c r="V293" s="5">
        <f t="shared" si="57"/>
        <v>0</v>
      </c>
    </row>
    <row r="294" spans="1:22" ht="13.5" customHeight="1" x14ac:dyDescent="0.25">
      <c r="A294" s="594"/>
      <c r="B294" s="377"/>
      <c r="C294" s="377"/>
      <c r="D294" s="443">
        <f t="shared" si="56"/>
        <v>100</v>
      </c>
      <c r="E294" s="580"/>
      <c r="F294" s="580"/>
      <c r="J294" s="26">
        <f t="shared" si="58"/>
        <v>0</v>
      </c>
      <c r="K294" s="5">
        <f t="shared" si="59"/>
        <v>0</v>
      </c>
      <c r="L294" s="5">
        <f t="shared" si="60"/>
        <v>0</v>
      </c>
      <c r="M294" s="5">
        <f t="shared" si="61"/>
        <v>0</v>
      </c>
      <c r="N294" s="5">
        <f t="shared" si="62"/>
        <v>0</v>
      </c>
      <c r="O294" s="5">
        <f t="shared" si="63"/>
        <v>0</v>
      </c>
      <c r="P294" s="5">
        <f t="shared" si="64"/>
        <v>0</v>
      </c>
      <c r="Q294" s="5">
        <f t="shared" si="65"/>
        <v>0</v>
      </c>
      <c r="R294" s="5">
        <f t="shared" si="66"/>
        <v>0</v>
      </c>
      <c r="S294" s="5">
        <f t="shared" si="67"/>
        <v>0</v>
      </c>
      <c r="T294" s="5">
        <f t="shared" si="68"/>
        <v>0</v>
      </c>
      <c r="U294" s="5">
        <f t="shared" si="69"/>
        <v>0</v>
      </c>
      <c r="V294" s="5">
        <f t="shared" si="57"/>
        <v>0</v>
      </c>
    </row>
    <row r="295" spans="1:22" ht="13.5" customHeight="1" x14ac:dyDescent="0.25">
      <c r="A295" s="594"/>
      <c r="B295" s="377"/>
      <c r="C295" s="377"/>
      <c r="D295" s="443">
        <f t="shared" si="56"/>
        <v>100</v>
      </c>
      <c r="E295" s="580"/>
      <c r="F295" s="580"/>
      <c r="J295" s="26">
        <f t="shared" si="58"/>
        <v>0</v>
      </c>
      <c r="K295" s="5">
        <f t="shared" si="59"/>
        <v>0</v>
      </c>
      <c r="L295" s="5">
        <f t="shared" si="60"/>
        <v>0</v>
      </c>
      <c r="M295" s="5">
        <f t="shared" si="61"/>
        <v>0</v>
      </c>
      <c r="N295" s="5">
        <f t="shared" si="62"/>
        <v>0</v>
      </c>
      <c r="O295" s="5">
        <f t="shared" si="63"/>
        <v>0</v>
      </c>
      <c r="P295" s="5">
        <f t="shared" si="64"/>
        <v>0</v>
      </c>
      <c r="Q295" s="5">
        <f t="shared" si="65"/>
        <v>0</v>
      </c>
      <c r="R295" s="5">
        <f t="shared" si="66"/>
        <v>0</v>
      </c>
      <c r="S295" s="5">
        <f t="shared" si="67"/>
        <v>0</v>
      </c>
      <c r="T295" s="5">
        <f t="shared" si="68"/>
        <v>0</v>
      </c>
      <c r="U295" s="5">
        <f t="shared" si="69"/>
        <v>0</v>
      </c>
      <c r="V295" s="5">
        <f t="shared" si="57"/>
        <v>0</v>
      </c>
    </row>
    <row r="296" spans="1:22" ht="13.5" customHeight="1" x14ac:dyDescent="0.25">
      <c r="A296" s="594"/>
      <c r="B296" s="377"/>
      <c r="C296" s="377"/>
      <c r="D296" s="443">
        <f t="shared" si="56"/>
        <v>100</v>
      </c>
      <c r="E296" s="580"/>
      <c r="F296" s="580"/>
      <c r="J296" s="26">
        <f t="shared" si="58"/>
        <v>0</v>
      </c>
      <c r="K296" s="5">
        <f t="shared" si="59"/>
        <v>0</v>
      </c>
      <c r="L296" s="5">
        <f t="shared" si="60"/>
        <v>0</v>
      </c>
      <c r="M296" s="5">
        <f t="shared" si="61"/>
        <v>0</v>
      </c>
      <c r="N296" s="5">
        <f t="shared" si="62"/>
        <v>0</v>
      </c>
      <c r="O296" s="5">
        <f t="shared" si="63"/>
        <v>0</v>
      </c>
      <c r="P296" s="5">
        <f t="shared" si="64"/>
        <v>0</v>
      </c>
      <c r="Q296" s="5">
        <f t="shared" si="65"/>
        <v>0</v>
      </c>
      <c r="R296" s="5">
        <f t="shared" si="66"/>
        <v>0</v>
      </c>
      <c r="S296" s="5">
        <f t="shared" si="67"/>
        <v>0</v>
      </c>
      <c r="T296" s="5">
        <f t="shared" si="68"/>
        <v>0</v>
      </c>
      <c r="U296" s="5">
        <f t="shared" si="69"/>
        <v>0</v>
      </c>
      <c r="V296" s="5">
        <f t="shared" si="57"/>
        <v>0</v>
      </c>
    </row>
    <row r="297" spans="1:22" ht="13.5" customHeight="1" x14ac:dyDescent="0.25">
      <c r="A297" s="594"/>
      <c r="B297" s="377"/>
      <c r="C297" s="377"/>
      <c r="D297" s="443">
        <f t="shared" si="56"/>
        <v>100</v>
      </c>
      <c r="E297" s="580"/>
      <c r="F297" s="580"/>
      <c r="J297" s="26">
        <f t="shared" si="58"/>
        <v>0</v>
      </c>
      <c r="K297" s="5">
        <f t="shared" si="59"/>
        <v>0</v>
      </c>
      <c r="L297" s="5">
        <f t="shared" si="60"/>
        <v>0</v>
      </c>
      <c r="M297" s="5">
        <f t="shared" si="61"/>
        <v>0</v>
      </c>
      <c r="N297" s="5">
        <f t="shared" si="62"/>
        <v>0</v>
      </c>
      <c r="O297" s="5">
        <f t="shared" si="63"/>
        <v>0</v>
      </c>
      <c r="P297" s="5">
        <f t="shared" si="64"/>
        <v>0</v>
      </c>
      <c r="Q297" s="5">
        <f t="shared" si="65"/>
        <v>0</v>
      </c>
      <c r="R297" s="5">
        <f t="shared" si="66"/>
        <v>0</v>
      </c>
      <c r="S297" s="5">
        <f t="shared" si="67"/>
        <v>0</v>
      </c>
      <c r="T297" s="5">
        <f t="shared" si="68"/>
        <v>0</v>
      </c>
      <c r="U297" s="5">
        <f t="shared" si="69"/>
        <v>0</v>
      </c>
      <c r="V297" s="5">
        <f t="shared" si="57"/>
        <v>0</v>
      </c>
    </row>
    <row r="298" spans="1:22" ht="13.5" customHeight="1" x14ac:dyDescent="0.25">
      <c r="A298" s="594"/>
      <c r="B298" s="377"/>
      <c r="C298" s="377"/>
      <c r="D298" s="443">
        <f t="shared" si="56"/>
        <v>100</v>
      </c>
      <c r="E298" s="580"/>
      <c r="F298" s="580"/>
      <c r="J298" s="26">
        <f t="shared" si="58"/>
        <v>0</v>
      </c>
      <c r="K298" s="5">
        <f t="shared" si="59"/>
        <v>0</v>
      </c>
      <c r="L298" s="5">
        <f t="shared" si="60"/>
        <v>0</v>
      </c>
      <c r="M298" s="5">
        <f t="shared" si="61"/>
        <v>0</v>
      </c>
      <c r="N298" s="5">
        <f t="shared" si="62"/>
        <v>0</v>
      </c>
      <c r="O298" s="5">
        <f t="shared" si="63"/>
        <v>0</v>
      </c>
      <c r="P298" s="5">
        <f t="shared" si="64"/>
        <v>0</v>
      </c>
      <c r="Q298" s="5">
        <f t="shared" si="65"/>
        <v>0</v>
      </c>
      <c r="R298" s="5">
        <f t="shared" si="66"/>
        <v>0</v>
      </c>
      <c r="S298" s="5">
        <f t="shared" si="67"/>
        <v>0</v>
      </c>
      <c r="T298" s="5">
        <f t="shared" si="68"/>
        <v>0</v>
      </c>
      <c r="U298" s="5">
        <f t="shared" si="69"/>
        <v>0</v>
      </c>
      <c r="V298" s="5">
        <f t="shared" si="57"/>
        <v>0</v>
      </c>
    </row>
    <row r="299" spans="1:22" ht="13.5" customHeight="1" x14ac:dyDescent="0.25">
      <c r="A299" s="594"/>
      <c r="B299" s="377"/>
      <c r="C299" s="377"/>
      <c r="D299" s="443">
        <f t="shared" si="56"/>
        <v>100</v>
      </c>
      <c r="E299" s="580"/>
      <c r="F299" s="580"/>
      <c r="J299" s="26">
        <f t="shared" si="58"/>
        <v>0</v>
      </c>
      <c r="K299" s="5">
        <f t="shared" si="59"/>
        <v>0</v>
      </c>
      <c r="L299" s="5">
        <f t="shared" si="60"/>
        <v>0</v>
      </c>
      <c r="M299" s="5">
        <f t="shared" si="61"/>
        <v>0</v>
      </c>
      <c r="N299" s="5">
        <f t="shared" si="62"/>
        <v>0</v>
      </c>
      <c r="O299" s="5">
        <f t="shared" si="63"/>
        <v>0</v>
      </c>
      <c r="P299" s="5">
        <f t="shared" si="64"/>
        <v>0</v>
      </c>
      <c r="Q299" s="5">
        <f t="shared" si="65"/>
        <v>0</v>
      </c>
      <c r="R299" s="5">
        <f t="shared" si="66"/>
        <v>0</v>
      </c>
      <c r="S299" s="5">
        <f t="shared" si="67"/>
        <v>0</v>
      </c>
      <c r="T299" s="5">
        <f t="shared" si="68"/>
        <v>0</v>
      </c>
      <c r="U299" s="5">
        <f t="shared" si="69"/>
        <v>0</v>
      </c>
      <c r="V299" s="5">
        <f t="shared" si="57"/>
        <v>0</v>
      </c>
    </row>
    <row r="300" spans="1:22" ht="13.5" customHeight="1" x14ac:dyDescent="0.25">
      <c r="A300" s="594"/>
      <c r="B300" s="377"/>
      <c r="C300" s="377"/>
      <c r="D300" s="443">
        <f t="shared" si="56"/>
        <v>100</v>
      </c>
      <c r="E300" s="580"/>
      <c r="F300" s="580"/>
      <c r="J300" s="26">
        <f t="shared" si="58"/>
        <v>0</v>
      </c>
      <c r="K300" s="5">
        <f t="shared" si="59"/>
        <v>0</v>
      </c>
      <c r="L300" s="5">
        <f t="shared" si="60"/>
        <v>0</v>
      </c>
      <c r="M300" s="5">
        <f t="shared" si="61"/>
        <v>0</v>
      </c>
      <c r="N300" s="5">
        <f t="shared" si="62"/>
        <v>0</v>
      </c>
      <c r="O300" s="5">
        <f t="shared" si="63"/>
        <v>0</v>
      </c>
      <c r="P300" s="5">
        <f t="shared" si="64"/>
        <v>0</v>
      </c>
      <c r="Q300" s="5">
        <f t="shared" si="65"/>
        <v>0</v>
      </c>
      <c r="R300" s="5">
        <f t="shared" si="66"/>
        <v>0</v>
      </c>
      <c r="S300" s="5">
        <f t="shared" si="67"/>
        <v>0</v>
      </c>
      <c r="T300" s="5">
        <f t="shared" si="68"/>
        <v>0</v>
      </c>
      <c r="U300" s="5">
        <f t="shared" si="69"/>
        <v>0</v>
      </c>
      <c r="V300" s="5">
        <f t="shared" si="57"/>
        <v>0</v>
      </c>
    </row>
    <row r="301" spans="1:22" ht="13.5" customHeight="1" x14ac:dyDescent="0.25">
      <c r="A301" s="594"/>
      <c r="B301" s="377"/>
      <c r="C301" s="377"/>
      <c r="D301" s="443">
        <f t="shared" si="56"/>
        <v>100</v>
      </c>
      <c r="E301" s="580"/>
      <c r="F301" s="580"/>
      <c r="J301" s="26">
        <f t="shared" si="58"/>
        <v>0</v>
      </c>
      <c r="K301" s="5">
        <f t="shared" si="59"/>
        <v>0</v>
      </c>
      <c r="L301" s="5">
        <f t="shared" si="60"/>
        <v>0</v>
      </c>
      <c r="M301" s="5">
        <f t="shared" si="61"/>
        <v>0</v>
      </c>
      <c r="N301" s="5">
        <f t="shared" si="62"/>
        <v>0</v>
      </c>
      <c r="O301" s="5">
        <f t="shared" si="63"/>
        <v>0</v>
      </c>
      <c r="P301" s="5">
        <f t="shared" si="64"/>
        <v>0</v>
      </c>
      <c r="Q301" s="5">
        <f t="shared" si="65"/>
        <v>0</v>
      </c>
      <c r="R301" s="5">
        <f t="shared" si="66"/>
        <v>0</v>
      </c>
      <c r="S301" s="5">
        <f t="shared" si="67"/>
        <v>0</v>
      </c>
      <c r="T301" s="5">
        <f t="shared" si="68"/>
        <v>0</v>
      </c>
      <c r="U301" s="5">
        <f t="shared" si="69"/>
        <v>0</v>
      </c>
      <c r="V301" s="5">
        <f t="shared" si="57"/>
        <v>0</v>
      </c>
    </row>
    <row r="302" spans="1:22" ht="13.5" customHeight="1" x14ac:dyDescent="0.25">
      <c r="A302" s="594"/>
      <c r="B302" s="377"/>
      <c r="C302" s="377"/>
      <c r="D302" s="443">
        <f t="shared" si="56"/>
        <v>100</v>
      </c>
      <c r="E302" s="580"/>
      <c r="F302" s="580"/>
      <c r="J302" s="26">
        <f t="shared" si="58"/>
        <v>0</v>
      </c>
      <c r="K302" s="5">
        <f t="shared" si="59"/>
        <v>0</v>
      </c>
      <c r="L302" s="5">
        <f t="shared" si="60"/>
        <v>0</v>
      </c>
      <c r="M302" s="5">
        <f t="shared" si="61"/>
        <v>0</v>
      </c>
      <c r="N302" s="5">
        <f t="shared" si="62"/>
        <v>0</v>
      </c>
      <c r="O302" s="5">
        <f t="shared" si="63"/>
        <v>0</v>
      </c>
      <c r="P302" s="5">
        <f t="shared" si="64"/>
        <v>0</v>
      </c>
      <c r="Q302" s="5">
        <f t="shared" si="65"/>
        <v>0</v>
      </c>
      <c r="R302" s="5">
        <f t="shared" si="66"/>
        <v>0</v>
      </c>
      <c r="S302" s="5">
        <f t="shared" si="67"/>
        <v>0</v>
      </c>
      <c r="T302" s="5">
        <f t="shared" si="68"/>
        <v>0</v>
      </c>
      <c r="U302" s="5">
        <f t="shared" si="69"/>
        <v>0</v>
      </c>
      <c r="V302" s="5">
        <f t="shared" si="57"/>
        <v>0</v>
      </c>
    </row>
    <row r="303" spans="1:22" ht="13.5" customHeight="1" x14ac:dyDescent="0.25">
      <c r="A303" s="594"/>
      <c r="B303" s="377"/>
      <c r="C303" s="377"/>
      <c r="D303" s="443">
        <f t="shared" si="56"/>
        <v>100</v>
      </c>
      <c r="E303" s="580"/>
      <c r="F303" s="580"/>
      <c r="J303" s="26">
        <f t="shared" si="58"/>
        <v>0</v>
      </c>
      <c r="K303" s="5">
        <f t="shared" si="59"/>
        <v>0</v>
      </c>
      <c r="L303" s="5">
        <f t="shared" si="60"/>
        <v>0</v>
      </c>
      <c r="M303" s="5">
        <f t="shared" si="61"/>
        <v>0</v>
      </c>
      <c r="N303" s="5">
        <f t="shared" si="62"/>
        <v>0</v>
      </c>
      <c r="O303" s="5">
        <f t="shared" si="63"/>
        <v>0</v>
      </c>
      <c r="P303" s="5">
        <f t="shared" si="64"/>
        <v>0</v>
      </c>
      <c r="Q303" s="5">
        <f t="shared" si="65"/>
        <v>0</v>
      </c>
      <c r="R303" s="5">
        <f t="shared" si="66"/>
        <v>0</v>
      </c>
      <c r="S303" s="5">
        <f t="shared" si="67"/>
        <v>0</v>
      </c>
      <c r="T303" s="5">
        <f t="shared" si="68"/>
        <v>0</v>
      </c>
      <c r="U303" s="5">
        <f t="shared" si="69"/>
        <v>0</v>
      </c>
      <c r="V303" s="5">
        <f t="shared" si="57"/>
        <v>0</v>
      </c>
    </row>
    <row r="304" spans="1:22" ht="13.5" customHeight="1" x14ac:dyDescent="0.25">
      <c r="A304" s="594"/>
      <c r="B304" s="377"/>
      <c r="C304" s="377"/>
      <c r="D304" s="443">
        <f t="shared" si="56"/>
        <v>100</v>
      </c>
      <c r="E304" s="580"/>
      <c r="F304" s="580"/>
      <c r="J304" s="26">
        <f t="shared" si="58"/>
        <v>0</v>
      </c>
      <c r="K304" s="5">
        <f t="shared" si="59"/>
        <v>0</v>
      </c>
      <c r="L304" s="5">
        <f t="shared" si="60"/>
        <v>0</v>
      </c>
      <c r="M304" s="5">
        <f t="shared" si="61"/>
        <v>0</v>
      </c>
      <c r="N304" s="5">
        <f t="shared" si="62"/>
        <v>0</v>
      </c>
      <c r="O304" s="5">
        <f t="shared" si="63"/>
        <v>0</v>
      </c>
      <c r="P304" s="5">
        <f t="shared" si="64"/>
        <v>0</v>
      </c>
      <c r="Q304" s="5">
        <f t="shared" si="65"/>
        <v>0</v>
      </c>
      <c r="R304" s="5">
        <f t="shared" si="66"/>
        <v>0</v>
      </c>
      <c r="S304" s="5">
        <f t="shared" si="67"/>
        <v>0</v>
      </c>
      <c r="T304" s="5">
        <f t="shared" si="68"/>
        <v>0</v>
      </c>
      <c r="U304" s="5">
        <f t="shared" si="69"/>
        <v>0</v>
      </c>
      <c r="V304" s="5">
        <f t="shared" si="57"/>
        <v>0</v>
      </c>
    </row>
    <row r="305" spans="1:22" ht="13.5" customHeight="1" x14ac:dyDescent="0.25">
      <c r="A305" s="594"/>
      <c r="B305" s="377"/>
      <c r="C305" s="377"/>
      <c r="D305" s="443">
        <f t="shared" si="56"/>
        <v>100</v>
      </c>
      <c r="E305" s="580"/>
      <c r="F305" s="580"/>
      <c r="J305" s="26">
        <f t="shared" si="58"/>
        <v>0</v>
      </c>
      <c r="K305" s="5">
        <f t="shared" si="59"/>
        <v>0</v>
      </c>
      <c r="L305" s="5">
        <f t="shared" si="60"/>
        <v>0</v>
      </c>
      <c r="M305" s="5">
        <f t="shared" si="61"/>
        <v>0</v>
      </c>
      <c r="N305" s="5">
        <f t="shared" si="62"/>
        <v>0</v>
      </c>
      <c r="O305" s="5">
        <f t="shared" si="63"/>
        <v>0</v>
      </c>
      <c r="P305" s="5">
        <f t="shared" si="64"/>
        <v>0</v>
      </c>
      <c r="Q305" s="5">
        <f t="shared" si="65"/>
        <v>0</v>
      </c>
      <c r="R305" s="5">
        <f t="shared" si="66"/>
        <v>0</v>
      </c>
      <c r="S305" s="5">
        <f t="shared" si="67"/>
        <v>0</v>
      </c>
      <c r="T305" s="5">
        <f t="shared" si="68"/>
        <v>0</v>
      </c>
      <c r="U305" s="5">
        <f t="shared" si="69"/>
        <v>0</v>
      </c>
      <c r="V305" s="5">
        <f t="shared" si="57"/>
        <v>0</v>
      </c>
    </row>
    <row r="306" spans="1:22" ht="13.5" customHeight="1" x14ac:dyDescent="0.25">
      <c r="A306" s="594"/>
      <c r="B306" s="377"/>
      <c r="C306" s="377"/>
      <c r="D306" s="443">
        <f t="shared" si="56"/>
        <v>100</v>
      </c>
      <c r="E306" s="580"/>
      <c r="F306" s="580"/>
      <c r="J306" s="26">
        <f t="shared" si="58"/>
        <v>0</v>
      </c>
      <c r="K306" s="5">
        <f t="shared" si="59"/>
        <v>0</v>
      </c>
      <c r="L306" s="5">
        <f t="shared" si="60"/>
        <v>0</v>
      </c>
      <c r="M306" s="5">
        <f t="shared" si="61"/>
        <v>0</v>
      </c>
      <c r="N306" s="5">
        <f t="shared" si="62"/>
        <v>0</v>
      </c>
      <c r="O306" s="5">
        <f t="shared" si="63"/>
        <v>0</v>
      </c>
      <c r="P306" s="5">
        <f t="shared" si="64"/>
        <v>0</v>
      </c>
      <c r="Q306" s="5">
        <f t="shared" si="65"/>
        <v>0</v>
      </c>
      <c r="R306" s="5">
        <f t="shared" si="66"/>
        <v>0</v>
      </c>
      <c r="S306" s="5">
        <f t="shared" si="67"/>
        <v>0</v>
      </c>
      <c r="T306" s="5">
        <f t="shared" si="68"/>
        <v>0</v>
      </c>
      <c r="U306" s="5">
        <f t="shared" si="69"/>
        <v>0</v>
      </c>
      <c r="V306" s="5">
        <f t="shared" si="57"/>
        <v>0</v>
      </c>
    </row>
    <row r="307" spans="1:22" ht="13.5" customHeight="1" x14ac:dyDescent="0.25">
      <c r="A307" s="594"/>
      <c r="B307" s="377"/>
      <c r="C307" s="377"/>
      <c r="D307" s="443">
        <f t="shared" si="56"/>
        <v>100</v>
      </c>
      <c r="E307" s="580"/>
      <c r="F307" s="580"/>
      <c r="J307" s="26">
        <f t="shared" si="58"/>
        <v>0</v>
      </c>
      <c r="K307" s="5">
        <f t="shared" si="59"/>
        <v>0</v>
      </c>
      <c r="L307" s="5">
        <f t="shared" si="60"/>
        <v>0</v>
      </c>
      <c r="M307" s="5">
        <f t="shared" si="61"/>
        <v>0</v>
      </c>
      <c r="N307" s="5">
        <f t="shared" si="62"/>
        <v>0</v>
      </c>
      <c r="O307" s="5">
        <f t="shared" si="63"/>
        <v>0</v>
      </c>
      <c r="P307" s="5">
        <f t="shared" si="64"/>
        <v>0</v>
      </c>
      <c r="Q307" s="5">
        <f t="shared" si="65"/>
        <v>0</v>
      </c>
      <c r="R307" s="5">
        <f t="shared" si="66"/>
        <v>0</v>
      </c>
      <c r="S307" s="5">
        <f t="shared" si="67"/>
        <v>0</v>
      </c>
      <c r="T307" s="5">
        <f t="shared" si="68"/>
        <v>0</v>
      </c>
      <c r="U307" s="5">
        <f t="shared" si="69"/>
        <v>0</v>
      </c>
      <c r="V307" s="5">
        <f t="shared" si="57"/>
        <v>0</v>
      </c>
    </row>
    <row r="308" spans="1:22" ht="13.5" customHeight="1" x14ac:dyDescent="0.25">
      <c r="A308" s="594"/>
      <c r="B308" s="377"/>
      <c r="C308" s="377"/>
      <c r="D308" s="443">
        <f t="shared" si="56"/>
        <v>100</v>
      </c>
      <c r="E308" s="580"/>
      <c r="F308" s="580"/>
      <c r="J308" s="26">
        <f t="shared" si="58"/>
        <v>0</v>
      </c>
      <c r="K308" s="5">
        <f t="shared" si="59"/>
        <v>0</v>
      </c>
      <c r="L308" s="5">
        <f t="shared" si="60"/>
        <v>0</v>
      </c>
      <c r="M308" s="5">
        <f t="shared" si="61"/>
        <v>0</v>
      </c>
      <c r="N308" s="5">
        <f t="shared" si="62"/>
        <v>0</v>
      </c>
      <c r="O308" s="5">
        <f t="shared" si="63"/>
        <v>0</v>
      </c>
      <c r="P308" s="5">
        <f t="shared" si="64"/>
        <v>0</v>
      </c>
      <c r="Q308" s="5">
        <f t="shared" si="65"/>
        <v>0</v>
      </c>
      <c r="R308" s="5">
        <f t="shared" si="66"/>
        <v>0</v>
      </c>
      <c r="S308" s="5">
        <f t="shared" si="67"/>
        <v>0</v>
      </c>
      <c r="T308" s="5">
        <f t="shared" si="68"/>
        <v>0</v>
      </c>
      <c r="U308" s="5">
        <f t="shared" si="69"/>
        <v>0</v>
      </c>
      <c r="V308" s="5">
        <f t="shared" si="57"/>
        <v>0</v>
      </c>
    </row>
    <row r="309" spans="1:22" ht="13.5" customHeight="1" x14ac:dyDescent="0.25">
      <c r="A309" s="594"/>
      <c r="B309" s="377"/>
      <c r="C309" s="377"/>
      <c r="D309" s="443">
        <f t="shared" si="56"/>
        <v>100</v>
      </c>
      <c r="E309" s="580"/>
      <c r="F309" s="580"/>
      <c r="J309" s="26">
        <f t="shared" si="58"/>
        <v>0</v>
      </c>
      <c r="K309" s="5">
        <f t="shared" si="59"/>
        <v>0</v>
      </c>
      <c r="L309" s="5">
        <f t="shared" si="60"/>
        <v>0</v>
      </c>
      <c r="M309" s="5">
        <f t="shared" si="61"/>
        <v>0</v>
      </c>
      <c r="N309" s="5">
        <f t="shared" si="62"/>
        <v>0</v>
      </c>
      <c r="O309" s="5">
        <f t="shared" si="63"/>
        <v>0</v>
      </c>
      <c r="P309" s="5">
        <f t="shared" si="64"/>
        <v>0</v>
      </c>
      <c r="Q309" s="5">
        <f t="shared" si="65"/>
        <v>0</v>
      </c>
      <c r="R309" s="5">
        <f t="shared" si="66"/>
        <v>0</v>
      </c>
      <c r="S309" s="5">
        <f t="shared" si="67"/>
        <v>0</v>
      </c>
      <c r="T309" s="5">
        <f t="shared" si="68"/>
        <v>0</v>
      </c>
      <c r="U309" s="5">
        <f t="shared" si="69"/>
        <v>0</v>
      </c>
      <c r="V309" s="5">
        <f t="shared" si="57"/>
        <v>0</v>
      </c>
    </row>
    <row r="310" spans="1:22" ht="13.5" customHeight="1" x14ac:dyDescent="0.25">
      <c r="A310" s="594"/>
      <c r="B310" s="377"/>
      <c r="C310" s="377"/>
      <c r="D310" s="443">
        <f t="shared" si="56"/>
        <v>100</v>
      </c>
      <c r="E310" s="580"/>
      <c r="F310" s="580"/>
      <c r="J310" s="26">
        <f t="shared" si="58"/>
        <v>0</v>
      </c>
      <c r="K310" s="5">
        <f t="shared" si="59"/>
        <v>0</v>
      </c>
      <c r="L310" s="5">
        <f t="shared" si="60"/>
        <v>0</v>
      </c>
      <c r="M310" s="5">
        <f t="shared" si="61"/>
        <v>0</v>
      </c>
      <c r="N310" s="5">
        <f t="shared" si="62"/>
        <v>0</v>
      </c>
      <c r="O310" s="5">
        <f t="shared" si="63"/>
        <v>0</v>
      </c>
      <c r="P310" s="5">
        <f t="shared" si="64"/>
        <v>0</v>
      </c>
      <c r="Q310" s="5">
        <f t="shared" si="65"/>
        <v>0</v>
      </c>
      <c r="R310" s="5">
        <f t="shared" si="66"/>
        <v>0</v>
      </c>
      <c r="S310" s="5">
        <f t="shared" si="67"/>
        <v>0</v>
      </c>
      <c r="T310" s="5">
        <f t="shared" si="68"/>
        <v>0</v>
      </c>
      <c r="U310" s="5">
        <f t="shared" si="69"/>
        <v>0</v>
      </c>
      <c r="V310" s="5">
        <f t="shared" si="57"/>
        <v>0</v>
      </c>
    </row>
    <row r="311" spans="1:22" ht="13.5" customHeight="1" x14ac:dyDescent="0.25">
      <c r="A311" s="594"/>
      <c r="B311" s="377"/>
      <c r="C311" s="377"/>
      <c r="D311" s="443">
        <f t="shared" si="56"/>
        <v>100</v>
      </c>
      <c r="E311" s="580"/>
      <c r="F311" s="580"/>
      <c r="J311" s="26">
        <f t="shared" si="58"/>
        <v>0</v>
      </c>
      <c r="K311" s="5">
        <f t="shared" si="59"/>
        <v>0</v>
      </c>
      <c r="L311" s="5">
        <f t="shared" si="60"/>
        <v>0</v>
      </c>
      <c r="M311" s="5">
        <f t="shared" si="61"/>
        <v>0</v>
      </c>
      <c r="N311" s="5">
        <f t="shared" si="62"/>
        <v>0</v>
      </c>
      <c r="O311" s="5">
        <f t="shared" si="63"/>
        <v>0</v>
      </c>
      <c r="P311" s="5">
        <f t="shared" si="64"/>
        <v>0</v>
      </c>
      <c r="Q311" s="5">
        <f t="shared" si="65"/>
        <v>0</v>
      </c>
      <c r="R311" s="5">
        <f t="shared" si="66"/>
        <v>0</v>
      </c>
      <c r="S311" s="5">
        <f t="shared" si="67"/>
        <v>0</v>
      </c>
      <c r="T311" s="5">
        <f t="shared" si="68"/>
        <v>0</v>
      </c>
      <c r="U311" s="5">
        <f t="shared" si="69"/>
        <v>0</v>
      </c>
      <c r="V311" s="5">
        <f t="shared" si="57"/>
        <v>0</v>
      </c>
    </row>
    <row r="312" spans="1:22" ht="13.5" customHeight="1" x14ac:dyDescent="0.25">
      <c r="A312" s="594"/>
      <c r="B312" s="377"/>
      <c r="C312" s="377"/>
      <c r="D312" s="443">
        <f t="shared" si="56"/>
        <v>100</v>
      </c>
      <c r="E312" s="580"/>
      <c r="F312" s="580"/>
      <c r="J312" s="26">
        <f t="shared" si="58"/>
        <v>0</v>
      </c>
      <c r="K312" s="5">
        <f t="shared" si="59"/>
        <v>0</v>
      </c>
      <c r="L312" s="5">
        <f t="shared" si="60"/>
        <v>0</v>
      </c>
      <c r="M312" s="5">
        <f t="shared" si="61"/>
        <v>0</v>
      </c>
      <c r="N312" s="5">
        <f t="shared" si="62"/>
        <v>0</v>
      </c>
      <c r="O312" s="5">
        <f t="shared" si="63"/>
        <v>0</v>
      </c>
      <c r="P312" s="5">
        <f t="shared" si="64"/>
        <v>0</v>
      </c>
      <c r="Q312" s="5">
        <f t="shared" si="65"/>
        <v>0</v>
      </c>
      <c r="R312" s="5">
        <f t="shared" si="66"/>
        <v>0</v>
      </c>
      <c r="S312" s="5">
        <f t="shared" si="67"/>
        <v>0</v>
      </c>
      <c r="T312" s="5">
        <f t="shared" si="68"/>
        <v>0</v>
      </c>
      <c r="U312" s="5">
        <f t="shared" si="69"/>
        <v>0</v>
      </c>
      <c r="V312" s="5">
        <f t="shared" si="57"/>
        <v>0</v>
      </c>
    </row>
    <row r="313" spans="1:22" ht="13.5" customHeight="1" x14ac:dyDescent="0.25">
      <c r="A313" s="594"/>
      <c r="B313" s="377"/>
      <c r="C313" s="377"/>
      <c r="D313" s="443">
        <f t="shared" si="56"/>
        <v>100</v>
      </c>
      <c r="E313" s="580"/>
      <c r="F313" s="580"/>
      <c r="J313" s="26">
        <f t="shared" si="58"/>
        <v>0</v>
      </c>
      <c r="K313" s="5">
        <f t="shared" si="59"/>
        <v>0</v>
      </c>
      <c r="L313" s="5">
        <f t="shared" si="60"/>
        <v>0</v>
      </c>
      <c r="M313" s="5">
        <f t="shared" si="61"/>
        <v>0</v>
      </c>
      <c r="N313" s="5">
        <f t="shared" si="62"/>
        <v>0</v>
      </c>
      <c r="O313" s="5">
        <f t="shared" si="63"/>
        <v>0</v>
      </c>
      <c r="P313" s="5">
        <f t="shared" si="64"/>
        <v>0</v>
      </c>
      <c r="Q313" s="5">
        <f t="shared" si="65"/>
        <v>0</v>
      </c>
      <c r="R313" s="5">
        <f t="shared" si="66"/>
        <v>0</v>
      </c>
      <c r="S313" s="5">
        <f t="shared" si="67"/>
        <v>0</v>
      </c>
      <c r="T313" s="5">
        <f t="shared" si="68"/>
        <v>0</v>
      </c>
      <c r="U313" s="5">
        <f t="shared" si="69"/>
        <v>0</v>
      </c>
      <c r="V313" s="5">
        <f t="shared" si="57"/>
        <v>0</v>
      </c>
    </row>
    <row r="314" spans="1:22" ht="13.5" customHeight="1" x14ac:dyDescent="0.25">
      <c r="A314" s="594"/>
      <c r="B314" s="377"/>
      <c r="C314" s="377"/>
      <c r="D314" s="443">
        <f t="shared" si="56"/>
        <v>100</v>
      </c>
      <c r="E314" s="580"/>
      <c r="F314" s="580"/>
      <c r="J314" s="26">
        <f t="shared" si="58"/>
        <v>0</v>
      </c>
      <c r="K314" s="5">
        <f t="shared" si="59"/>
        <v>0</v>
      </c>
      <c r="L314" s="5">
        <f t="shared" si="60"/>
        <v>0</v>
      </c>
      <c r="M314" s="5">
        <f t="shared" si="61"/>
        <v>0</v>
      </c>
      <c r="N314" s="5">
        <f t="shared" si="62"/>
        <v>0</v>
      </c>
      <c r="O314" s="5">
        <f t="shared" si="63"/>
        <v>0</v>
      </c>
      <c r="P314" s="5">
        <f t="shared" si="64"/>
        <v>0</v>
      </c>
      <c r="Q314" s="5">
        <f t="shared" si="65"/>
        <v>0</v>
      </c>
      <c r="R314" s="5">
        <f t="shared" si="66"/>
        <v>0</v>
      </c>
      <c r="S314" s="5">
        <f t="shared" si="67"/>
        <v>0</v>
      </c>
      <c r="T314" s="5">
        <f t="shared" si="68"/>
        <v>0</v>
      </c>
      <c r="U314" s="5">
        <f t="shared" si="69"/>
        <v>0</v>
      </c>
      <c r="V314" s="5">
        <f t="shared" si="57"/>
        <v>0</v>
      </c>
    </row>
    <row r="315" spans="1:22" ht="13.5" customHeight="1" x14ac:dyDescent="0.25">
      <c r="A315" s="594"/>
      <c r="B315" s="377"/>
      <c r="C315" s="377"/>
      <c r="D315" s="443">
        <f t="shared" si="56"/>
        <v>100</v>
      </c>
      <c r="E315" s="580"/>
      <c r="F315" s="580"/>
      <c r="J315" s="26">
        <f t="shared" si="58"/>
        <v>0</v>
      </c>
      <c r="K315" s="5">
        <f t="shared" si="59"/>
        <v>0</v>
      </c>
      <c r="L315" s="5">
        <f t="shared" si="60"/>
        <v>0</v>
      </c>
      <c r="M315" s="5">
        <f t="shared" si="61"/>
        <v>0</v>
      </c>
      <c r="N315" s="5">
        <f t="shared" si="62"/>
        <v>0</v>
      </c>
      <c r="O315" s="5">
        <f t="shared" si="63"/>
        <v>0</v>
      </c>
      <c r="P315" s="5">
        <f t="shared" si="64"/>
        <v>0</v>
      </c>
      <c r="Q315" s="5">
        <f t="shared" si="65"/>
        <v>0</v>
      </c>
      <c r="R315" s="5">
        <f t="shared" si="66"/>
        <v>0</v>
      </c>
      <c r="S315" s="5">
        <f t="shared" si="67"/>
        <v>0</v>
      </c>
      <c r="T315" s="5">
        <f t="shared" si="68"/>
        <v>0</v>
      </c>
      <c r="U315" s="5">
        <f t="shared" si="69"/>
        <v>0</v>
      </c>
      <c r="V315" s="5">
        <f t="shared" si="57"/>
        <v>0</v>
      </c>
    </row>
    <row r="316" spans="1:22" ht="13.5" customHeight="1" x14ac:dyDescent="0.25">
      <c r="A316" s="594"/>
      <c r="B316" s="377"/>
      <c r="C316" s="377"/>
      <c r="D316" s="443">
        <f t="shared" si="56"/>
        <v>100</v>
      </c>
      <c r="E316" s="580"/>
      <c r="F316" s="580"/>
      <c r="J316" s="26">
        <f t="shared" si="58"/>
        <v>0</v>
      </c>
      <c r="K316" s="5">
        <f t="shared" si="59"/>
        <v>0</v>
      </c>
      <c r="L316" s="5">
        <f t="shared" si="60"/>
        <v>0</v>
      </c>
      <c r="M316" s="5">
        <f t="shared" si="61"/>
        <v>0</v>
      </c>
      <c r="N316" s="5">
        <f t="shared" si="62"/>
        <v>0</v>
      </c>
      <c r="O316" s="5">
        <f t="shared" si="63"/>
        <v>0</v>
      </c>
      <c r="P316" s="5">
        <f t="shared" si="64"/>
        <v>0</v>
      </c>
      <c r="Q316" s="5">
        <f t="shared" si="65"/>
        <v>0</v>
      </c>
      <c r="R316" s="5">
        <f t="shared" si="66"/>
        <v>0</v>
      </c>
      <c r="S316" s="5">
        <f t="shared" si="67"/>
        <v>0</v>
      </c>
      <c r="T316" s="5">
        <f t="shared" si="68"/>
        <v>0</v>
      </c>
      <c r="U316" s="5">
        <f t="shared" si="69"/>
        <v>0</v>
      </c>
      <c r="V316" s="5">
        <f t="shared" si="57"/>
        <v>0</v>
      </c>
    </row>
    <row r="317" spans="1:22" ht="13.5" customHeight="1" x14ac:dyDescent="0.25">
      <c r="A317" s="594"/>
      <c r="B317" s="377"/>
      <c r="C317" s="377"/>
      <c r="D317" s="443">
        <f t="shared" si="56"/>
        <v>100</v>
      </c>
      <c r="E317" s="580"/>
      <c r="F317" s="580"/>
      <c r="J317" s="26">
        <f t="shared" si="58"/>
        <v>0</v>
      </c>
      <c r="K317" s="5">
        <f t="shared" si="59"/>
        <v>0</v>
      </c>
      <c r="L317" s="5">
        <f t="shared" si="60"/>
        <v>0</v>
      </c>
      <c r="M317" s="5">
        <f t="shared" si="61"/>
        <v>0</v>
      </c>
      <c r="N317" s="5">
        <f t="shared" si="62"/>
        <v>0</v>
      </c>
      <c r="O317" s="5">
        <f t="shared" si="63"/>
        <v>0</v>
      </c>
      <c r="P317" s="5">
        <f t="shared" si="64"/>
        <v>0</v>
      </c>
      <c r="Q317" s="5">
        <f t="shared" si="65"/>
        <v>0</v>
      </c>
      <c r="R317" s="5">
        <f t="shared" si="66"/>
        <v>0</v>
      </c>
      <c r="S317" s="5">
        <f t="shared" si="67"/>
        <v>0</v>
      </c>
      <c r="T317" s="5">
        <f t="shared" si="68"/>
        <v>0</v>
      </c>
      <c r="U317" s="5">
        <f t="shared" si="69"/>
        <v>0</v>
      </c>
      <c r="V317" s="5">
        <f t="shared" si="57"/>
        <v>0</v>
      </c>
    </row>
    <row r="318" spans="1:22" ht="13.5" customHeight="1" x14ac:dyDescent="0.25">
      <c r="A318" s="594"/>
      <c r="B318" s="377"/>
      <c r="C318" s="377"/>
      <c r="D318" s="443">
        <f t="shared" si="56"/>
        <v>100</v>
      </c>
      <c r="E318" s="580"/>
      <c r="F318" s="580"/>
      <c r="J318" s="26">
        <f t="shared" si="58"/>
        <v>0</v>
      </c>
      <c r="K318" s="5">
        <f t="shared" si="59"/>
        <v>0</v>
      </c>
      <c r="L318" s="5">
        <f t="shared" si="60"/>
        <v>0</v>
      </c>
      <c r="M318" s="5">
        <f t="shared" si="61"/>
        <v>0</v>
      </c>
      <c r="N318" s="5">
        <f t="shared" si="62"/>
        <v>0</v>
      </c>
      <c r="O318" s="5">
        <f t="shared" si="63"/>
        <v>0</v>
      </c>
      <c r="P318" s="5">
        <f t="shared" si="64"/>
        <v>0</v>
      </c>
      <c r="Q318" s="5">
        <f t="shared" si="65"/>
        <v>0</v>
      </c>
      <c r="R318" s="5">
        <f t="shared" si="66"/>
        <v>0</v>
      </c>
      <c r="S318" s="5">
        <f t="shared" si="67"/>
        <v>0</v>
      </c>
      <c r="T318" s="5">
        <f t="shared" si="68"/>
        <v>0</v>
      </c>
      <c r="U318" s="5">
        <f t="shared" si="69"/>
        <v>0</v>
      </c>
      <c r="V318" s="5">
        <f t="shared" si="57"/>
        <v>0</v>
      </c>
    </row>
    <row r="319" spans="1:22" ht="13.5" customHeight="1" x14ac:dyDescent="0.25">
      <c r="A319" s="594"/>
      <c r="B319" s="377"/>
      <c r="C319" s="377"/>
      <c r="D319" s="443">
        <f t="shared" si="56"/>
        <v>100</v>
      </c>
      <c r="E319" s="580"/>
      <c r="F319" s="580"/>
      <c r="J319" s="26">
        <f t="shared" si="58"/>
        <v>0</v>
      </c>
      <c r="K319" s="5">
        <f t="shared" si="59"/>
        <v>0</v>
      </c>
      <c r="L319" s="5">
        <f t="shared" si="60"/>
        <v>0</v>
      </c>
      <c r="M319" s="5">
        <f t="shared" si="61"/>
        <v>0</v>
      </c>
      <c r="N319" s="5">
        <f t="shared" si="62"/>
        <v>0</v>
      </c>
      <c r="O319" s="5">
        <f t="shared" si="63"/>
        <v>0</v>
      </c>
      <c r="P319" s="5">
        <f t="shared" si="64"/>
        <v>0</v>
      </c>
      <c r="Q319" s="5">
        <f t="shared" si="65"/>
        <v>0</v>
      </c>
      <c r="R319" s="5">
        <f t="shared" si="66"/>
        <v>0</v>
      </c>
      <c r="S319" s="5">
        <f t="shared" si="67"/>
        <v>0</v>
      </c>
      <c r="T319" s="5">
        <f t="shared" si="68"/>
        <v>0</v>
      </c>
      <c r="U319" s="5">
        <f t="shared" si="69"/>
        <v>0</v>
      </c>
      <c r="V319" s="5">
        <f t="shared" si="57"/>
        <v>0</v>
      </c>
    </row>
    <row r="320" spans="1:22" ht="13.5" customHeight="1" x14ac:dyDescent="0.25">
      <c r="A320" s="594"/>
      <c r="B320" s="377"/>
      <c r="C320" s="377"/>
      <c r="D320" s="443">
        <f t="shared" si="56"/>
        <v>100</v>
      </c>
      <c r="E320" s="580"/>
      <c r="F320" s="580"/>
      <c r="J320" s="26">
        <f t="shared" si="58"/>
        <v>0</v>
      </c>
      <c r="K320" s="5">
        <f t="shared" si="59"/>
        <v>0</v>
      </c>
      <c r="L320" s="5">
        <f t="shared" si="60"/>
        <v>0</v>
      </c>
      <c r="M320" s="5">
        <f t="shared" si="61"/>
        <v>0</v>
      </c>
      <c r="N320" s="5">
        <f t="shared" si="62"/>
        <v>0</v>
      </c>
      <c r="O320" s="5">
        <f t="shared" si="63"/>
        <v>0</v>
      </c>
      <c r="P320" s="5">
        <f t="shared" si="64"/>
        <v>0</v>
      </c>
      <c r="Q320" s="5">
        <f t="shared" si="65"/>
        <v>0</v>
      </c>
      <c r="R320" s="5">
        <f t="shared" si="66"/>
        <v>0</v>
      </c>
      <c r="S320" s="5">
        <f t="shared" si="67"/>
        <v>0</v>
      </c>
      <c r="T320" s="5">
        <f t="shared" si="68"/>
        <v>0</v>
      </c>
      <c r="U320" s="5">
        <f t="shared" si="69"/>
        <v>0</v>
      </c>
      <c r="V320" s="5">
        <f t="shared" si="57"/>
        <v>0</v>
      </c>
    </row>
    <row r="321" spans="1:22" ht="13.5" customHeight="1" x14ac:dyDescent="0.25">
      <c r="A321" s="594"/>
      <c r="B321" s="377"/>
      <c r="C321" s="377"/>
      <c r="D321" s="443">
        <f t="shared" si="56"/>
        <v>100</v>
      </c>
      <c r="E321" s="580"/>
      <c r="F321" s="580"/>
      <c r="J321" s="26">
        <f t="shared" si="58"/>
        <v>0</v>
      </c>
      <c r="K321" s="5">
        <f t="shared" si="59"/>
        <v>0</v>
      </c>
      <c r="L321" s="5">
        <f t="shared" si="60"/>
        <v>0</v>
      </c>
      <c r="M321" s="5">
        <f t="shared" si="61"/>
        <v>0</v>
      </c>
      <c r="N321" s="5">
        <f t="shared" si="62"/>
        <v>0</v>
      </c>
      <c r="O321" s="5">
        <f t="shared" si="63"/>
        <v>0</v>
      </c>
      <c r="P321" s="5">
        <f t="shared" si="64"/>
        <v>0</v>
      </c>
      <c r="Q321" s="5">
        <f t="shared" si="65"/>
        <v>0</v>
      </c>
      <c r="R321" s="5">
        <f t="shared" si="66"/>
        <v>0</v>
      </c>
      <c r="S321" s="5">
        <f t="shared" si="67"/>
        <v>0</v>
      </c>
      <c r="T321" s="5">
        <f t="shared" si="68"/>
        <v>0</v>
      </c>
      <c r="U321" s="5">
        <f t="shared" si="69"/>
        <v>0</v>
      </c>
      <c r="V321" s="5">
        <f t="shared" si="57"/>
        <v>0</v>
      </c>
    </row>
    <row r="322" spans="1:22" ht="13.5" customHeight="1" x14ac:dyDescent="0.25">
      <c r="A322" s="594"/>
      <c r="B322" s="377"/>
      <c r="C322" s="377"/>
      <c r="D322" s="443">
        <f t="shared" si="56"/>
        <v>100</v>
      </c>
      <c r="E322" s="580"/>
      <c r="F322" s="580"/>
      <c r="J322" s="26">
        <f t="shared" si="58"/>
        <v>0</v>
      </c>
      <c r="K322" s="5">
        <f t="shared" si="59"/>
        <v>0</v>
      </c>
      <c r="L322" s="5">
        <f t="shared" si="60"/>
        <v>0</v>
      </c>
      <c r="M322" s="5">
        <f t="shared" si="61"/>
        <v>0</v>
      </c>
      <c r="N322" s="5">
        <f t="shared" si="62"/>
        <v>0</v>
      </c>
      <c r="O322" s="5">
        <f t="shared" si="63"/>
        <v>0</v>
      </c>
      <c r="P322" s="5">
        <f t="shared" si="64"/>
        <v>0</v>
      </c>
      <c r="Q322" s="5">
        <f t="shared" si="65"/>
        <v>0</v>
      </c>
      <c r="R322" s="5">
        <f t="shared" si="66"/>
        <v>0</v>
      </c>
      <c r="S322" s="5">
        <f t="shared" si="67"/>
        <v>0</v>
      </c>
      <c r="T322" s="5">
        <f t="shared" si="68"/>
        <v>0</v>
      </c>
      <c r="U322" s="5">
        <f t="shared" si="69"/>
        <v>0</v>
      </c>
      <c r="V322" s="5">
        <f t="shared" si="57"/>
        <v>0</v>
      </c>
    </row>
    <row r="323" spans="1:22" ht="13.5" customHeight="1" x14ac:dyDescent="0.25">
      <c r="A323" s="594"/>
      <c r="B323" s="377"/>
      <c r="C323" s="377"/>
      <c r="D323" s="443">
        <f t="shared" si="56"/>
        <v>100</v>
      </c>
      <c r="E323" s="580"/>
      <c r="F323" s="580"/>
      <c r="J323" s="26">
        <f t="shared" si="58"/>
        <v>0</v>
      </c>
      <c r="K323" s="5">
        <f t="shared" si="59"/>
        <v>0</v>
      </c>
      <c r="L323" s="5">
        <f t="shared" si="60"/>
        <v>0</v>
      </c>
      <c r="M323" s="5">
        <f t="shared" si="61"/>
        <v>0</v>
      </c>
      <c r="N323" s="5">
        <f t="shared" si="62"/>
        <v>0</v>
      </c>
      <c r="O323" s="5">
        <f t="shared" si="63"/>
        <v>0</v>
      </c>
      <c r="P323" s="5">
        <f t="shared" si="64"/>
        <v>0</v>
      </c>
      <c r="Q323" s="5">
        <f t="shared" si="65"/>
        <v>0</v>
      </c>
      <c r="R323" s="5">
        <f t="shared" si="66"/>
        <v>0</v>
      </c>
      <c r="S323" s="5">
        <f t="shared" si="67"/>
        <v>0</v>
      </c>
      <c r="T323" s="5">
        <f t="shared" si="68"/>
        <v>0</v>
      </c>
      <c r="U323" s="5">
        <f t="shared" si="69"/>
        <v>0</v>
      </c>
      <c r="V323" s="5">
        <f t="shared" si="57"/>
        <v>0</v>
      </c>
    </row>
    <row r="324" spans="1:22" ht="13.5" customHeight="1" x14ac:dyDescent="0.25">
      <c r="A324" s="594"/>
      <c r="B324" s="377"/>
      <c r="C324" s="377"/>
      <c r="D324" s="443">
        <f t="shared" si="56"/>
        <v>100</v>
      </c>
      <c r="E324" s="580"/>
      <c r="F324" s="580"/>
      <c r="J324" s="26">
        <f t="shared" si="58"/>
        <v>0</v>
      </c>
      <c r="K324" s="5">
        <f t="shared" si="59"/>
        <v>0</v>
      </c>
      <c r="L324" s="5">
        <f t="shared" si="60"/>
        <v>0</v>
      </c>
      <c r="M324" s="5">
        <f t="shared" si="61"/>
        <v>0</v>
      </c>
      <c r="N324" s="5">
        <f t="shared" si="62"/>
        <v>0</v>
      </c>
      <c r="O324" s="5">
        <f t="shared" si="63"/>
        <v>0</v>
      </c>
      <c r="P324" s="5">
        <f t="shared" si="64"/>
        <v>0</v>
      </c>
      <c r="Q324" s="5">
        <f t="shared" si="65"/>
        <v>0</v>
      </c>
      <c r="R324" s="5">
        <f t="shared" si="66"/>
        <v>0</v>
      </c>
      <c r="S324" s="5">
        <f t="shared" si="67"/>
        <v>0</v>
      </c>
      <c r="T324" s="5">
        <f t="shared" si="68"/>
        <v>0</v>
      </c>
      <c r="U324" s="5">
        <f t="shared" si="69"/>
        <v>0</v>
      </c>
      <c r="V324" s="5">
        <f t="shared" si="57"/>
        <v>0</v>
      </c>
    </row>
    <row r="325" spans="1:22" ht="13.5" customHeight="1" x14ac:dyDescent="0.25">
      <c r="A325" s="594"/>
      <c r="B325" s="377"/>
      <c r="C325" s="377"/>
      <c r="D325" s="443">
        <f t="shared" si="56"/>
        <v>100</v>
      </c>
      <c r="E325" s="580"/>
      <c r="F325" s="580"/>
      <c r="J325" s="26">
        <f t="shared" si="58"/>
        <v>0</v>
      </c>
      <c r="K325" s="5">
        <f t="shared" si="59"/>
        <v>0</v>
      </c>
      <c r="L325" s="5">
        <f t="shared" si="60"/>
        <v>0</v>
      </c>
      <c r="M325" s="5">
        <f t="shared" si="61"/>
        <v>0</v>
      </c>
      <c r="N325" s="5">
        <f t="shared" si="62"/>
        <v>0</v>
      </c>
      <c r="O325" s="5">
        <f t="shared" si="63"/>
        <v>0</v>
      </c>
      <c r="P325" s="5">
        <f t="shared" si="64"/>
        <v>0</v>
      </c>
      <c r="Q325" s="5">
        <f t="shared" si="65"/>
        <v>0</v>
      </c>
      <c r="R325" s="5">
        <f t="shared" si="66"/>
        <v>0</v>
      </c>
      <c r="S325" s="5">
        <f t="shared" si="67"/>
        <v>0</v>
      </c>
      <c r="T325" s="5">
        <f t="shared" si="68"/>
        <v>0</v>
      </c>
      <c r="U325" s="5">
        <f t="shared" si="69"/>
        <v>0</v>
      </c>
      <c r="V325" s="5">
        <f t="shared" si="57"/>
        <v>0</v>
      </c>
    </row>
    <row r="326" spans="1:22" ht="13.5" customHeight="1" x14ac:dyDescent="0.25">
      <c r="A326" s="594"/>
      <c r="B326" s="377"/>
      <c r="C326" s="377"/>
      <c r="D326" s="443">
        <f t="shared" si="56"/>
        <v>100</v>
      </c>
      <c r="E326" s="580"/>
      <c r="F326" s="580"/>
      <c r="J326" s="26">
        <f t="shared" si="58"/>
        <v>0</v>
      </c>
      <c r="K326" s="5">
        <f t="shared" si="59"/>
        <v>0</v>
      </c>
      <c r="L326" s="5">
        <f t="shared" si="60"/>
        <v>0</v>
      </c>
      <c r="M326" s="5">
        <f t="shared" si="61"/>
        <v>0</v>
      </c>
      <c r="N326" s="5">
        <f t="shared" si="62"/>
        <v>0</v>
      </c>
      <c r="O326" s="5">
        <f t="shared" si="63"/>
        <v>0</v>
      </c>
      <c r="P326" s="5">
        <f t="shared" si="64"/>
        <v>0</v>
      </c>
      <c r="Q326" s="5">
        <f t="shared" si="65"/>
        <v>0</v>
      </c>
      <c r="R326" s="5">
        <f t="shared" si="66"/>
        <v>0</v>
      </c>
      <c r="S326" s="5">
        <f t="shared" si="67"/>
        <v>0</v>
      </c>
      <c r="T326" s="5">
        <f t="shared" si="68"/>
        <v>0</v>
      </c>
      <c r="U326" s="5">
        <f t="shared" si="69"/>
        <v>0</v>
      </c>
      <c r="V326" s="5">
        <f t="shared" si="57"/>
        <v>0</v>
      </c>
    </row>
    <row r="327" spans="1:22" ht="13.5" customHeight="1" x14ac:dyDescent="0.25">
      <c r="A327" s="594"/>
      <c r="B327" s="377"/>
      <c r="C327" s="377"/>
      <c r="D327" s="443">
        <f t="shared" si="56"/>
        <v>100</v>
      </c>
      <c r="E327" s="580"/>
      <c r="F327" s="580"/>
      <c r="J327" s="26">
        <f t="shared" si="58"/>
        <v>0</v>
      </c>
      <c r="K327" s="5">
        <f t="shared" si="59"/>
        <v>0</v>
      </c>
      <c r="L327" s="5">
        <f t="shared" si="60"/>
        <v>0</v>
      </c>
      <c r="M327" s="5">
        <f t="shared" si="61"/>
        <v>0</v>
      </c>
      <c r="N327" s="5">
        <f t="shared" si="62"/>
        <v>0</v>
      </c>
      <c r="O327" s="5">
        <f t="shared" si="63"/>
        <v>0</v>
      </c>
      <c r="P327" s="5">
        <f t="shared" si="64"/>
        <v>0</v>
      </c>
      <c r="Q327" s="5">
        <f t="shared" si="65"/>
        <v>0</v>
      </c>
      <c r="R327" s="5">
        <f t="shared" si="66"/>
        <v>0</v>
      </c>
      <c r="S327" s="5">
        <f t="shared" si="67"/>
        <v>0</v>
      </c>
      <c r="T327" s="5">
        <f t="shared" si="68"/>
        <v>0</v>
      </c>
      <c r="U327" s="5">
        <f t="shared" si="69"/>
        <v>0</v>
      </c>
      <c r="V327" s="5">
        <f t="shared" si="57"/>
        <v>0</v>
      </c>
    </row>
    <row r="328" spans="1:22" ht="13.5" customHeight="1" x14ac:dyDescent="0.25">
      <c r="A328" s="594"/>
      <c r="B328" s="377"/>
      <c r="C328" s="377"/>
      <c r="D328" s="443">
        <f t="shared" si="56"/>
        <v>100</v>
      </c>
      <c r="E328" s="580"/>
      <c r="F328" s="580"/>
      <c r="J328" s="26">
        <f t="shared" si="58"/>
        <v>0</v>
      </c>
      <c r="K328" s="5">
        <f t="shared" si="59"/>
        <v>0</v>
      </c>
      <c r="L328" s="5">
        <f t="shared" si="60"/>
        <v>0</v>
      </c>
      <c r="M328" s="5">
        <f t="shared" si="61"/>
        <v>0</v>
      </c>
      <c r="N328" s="5">
        <f t="shared" si="62"/>
        <v>0</v>
      </c>
      <c r="O328" s="5">
        <f t="shared" si="63"/>
        <v>0</v>
      </c>
      <c r="P328" s="5">
        <f t="shared" si="64"/>
        <v>0</v>
      </c>
      <c r="Q328" s="5">
        <f t="shared" si="65"/>
        <v>0</v>
      </c>
      <c r="R328" s="5">
        <f t="shared" si="66"/>
        <v>0</v>
      </c>
      <c r="S328" s="5">
        <f t="shared" si="67"/>
        <v>0</v>
      </c>
      <c r="T328" s="5">
        <f t="shared" si="68"/>
        <v>0</v>
      </c>
      <c r="U328" s="5">
        <f t="shared" si="69"/>
        <v>0</v>
      </c>
      <c r="V328" s="5">
        <f t="shared" si="57"/>
        <v>0</v>
      </c>
    </row>
    <row r="329" spans="1:22" ht="13.5" customHeight="1" x14ac:dyDescent="0.25">
      <c r="A329" s="594"/>
      <c r="B329" s="377"/>
      <c r="C329" s="377"/>
      <c r="D329" s="443">
        <f t="shared" si="56"/>
        <v>100</v>
      </c>
      <c r="E329" s="580"/>
      <c r="F329" s="580"/>
      <c r="J329" s="26">
        <f t="shared" si="58"/>
        <v>0</v>
      </c>
      <c r="K329" s="5">
        <f t="shared" si="59"/>
        <v>0</v>
      </c>
      <c r="L329" s="5">
        <f t="shared" si="60"/>
        <v>0</v>
      </c>
      <c r="M329" s="5">
        <f t="shared" si="61"/>
        <v>0</v>
      </c>
      <c r="N329" s="5">
        <f t="shared" si="62"/>
        <v>0</v>
      </c>
      <c r="O329" s="5">
        <f t="shared" si="63"/>
        <v>0</v>
      </c>
      <c r="P329" s="5">
        <f t="shared" si="64"/>
        <v>0</v>
      </c>
      <c r="Q329" s="5">
        <f t="shared" si="65"/>
        <v>0</v>
      </c>
      <c r="R329" s="5">
        <f t="shared" si="66"/>
        <v>0</v>
      </c>
      <c r="S329" s="5">
        <f t="shared" si="67"/>
        <v>0</v>
      </c>
      <c r="T329" s="5">
        <f t="shared" si="68"/>
        <v>0</v>
      </c>
      <c r="U329" s="5">
        <f t="shared" si="69"/>
        <v>0</v>
      </c>
      <c r="V329" s="5">
        <f t="shared" si="57"/>
        <v>0</v>
      </c>
    </row>
    <row r="330" spans="1:22" ht="13.5" customHeight="1" x14ac:dyDescent="0.25">
      <c r="A330" s="594"/>
      <c r="B330" s="377"/>
      <c r="C330" s="377"/>
      <c r="D330" s="443">
        <f t="shared" si="56"/>
        <v>100</v>
      </c>
      <c r="E330" s="580"/>
      <c r="F330" s="580"/>
      <c r="J330" s="26">
        <f t="shared" si="58"/>
        <v>0</v>
      </c>
      <c r="K330" s="5">
        <f t="shared" si="59"/>
        <v>0</v>
      </c>
      <c r="L330" s="5">
        <f t="shared" si="60"/>
        <v>0</v>
      </c>
      <c r="M330" s="5">
        <f t="shared" si="61"/>
        <v>0</v>
      </c>
      <c r="N330" s="5">
        <f t="shared" si="62"/>
        <v>0</v>
      </c>
      <c r="O330" s="5">
        <f t="shared" si="63"/>
        <v>0</v>
      </c>
      <c r="P330" s="5">
        <f t="shared" si="64"/>
        <v>0</v>
      </c>
      <c r="Q330" s="5">
        <f t="shared" si="65"/>
        <v>0</v>
      </c>
      <c r="R330" s="5">
        <f t="shared" si="66"/>
        <v>0</v>
      </c>
      <c r="S330" s="5">
        <f t="shared" si="67"/>
        <v>0</v>
      </c>
      <c r="T330" s="5">
        <f t="shared" si="68"/>
        <v>0</v>
      </c>
      <c r="U330" s="5">
        <f t="shared" si="69"/>
        <v>0</v>
      </c>
      <c r="V330" s="5">
        <f t="shared" si="57"/>
        <v>0</v>
      </c>
    </row>
    <row r="331" spans="1:22" ht="13.5" customHeight="1" x14ac:dyDescent="0.25">
      <c r="A331" s="594"/>
      <c r="B331" s="377"/>
      <c r="C331" s="377"/>
      <c r="D331" s="443">
        <f t="shared" si="56"/>
        <v>100</v>
      </c>
      <c r="E331" s="580"/>
      <c r="F331" s="580"/>
      <c r="J331" s="26">
        <f t="shared" si="58"/>
        <v>0</v>
      </c>
      <c r="K331" s="5">
        <f t="shared" si="59"/>
        <v>0</v>
      </c>
      <c r="L331" s="5">
        <f t="shared" si="60"/>
        <v>0</v>
      </c>
      <c r="M331" s="5">
        <f t="shared" si="61"/>
        <v>0</v>
      </c>
      <c r="N331" s="5">
        <f t="shared" si="62"/>
        <v>0</v>
      </c>
      <c r="O331" s="5">
        <f t="shared" si="63"/>
        <v>0</v>
      </c>
      <c r="P331" s="5">
        <f t="shared" si="64"/>
        <v>0</v>
      </c>
      <c r="Q331" s="5">
        <f t="shared" si="65"/>
        <v>0</v>
      </c>
      <c r="R331" s="5">
        <f t="shared" si="66"/>
        <v>0</v>
      </c>
      <c r="S331" s="5">
        <f t="shared" si="67"/>
        <v>0</v>
      </c>
      <c r="T331" s="5">
        <f t="shared" si="68"/>
        <v>0</v>
      </c>
      <c r="U331" s="5">
        <f t="shared" si="69"/>
        <v>0</v>
      </c>
      <c r="V331" s="5">
        <f t="shared" si="57"/>
        <v>0</v>
      </c>
    </row>
    <row r="332" spans="1:22" ht="13.5" customHeight="1" x14ac:dyDescent="0.25">
      <c r="A332" s="594"/>
      <c r="B332" s="377"/>
      <c r="C332" s="377"/>
      <c r="D332" s="443">
        <f t="shared" si="56"/>
        <v>100</v>
      </c>
      <c r="E332" s="580"/>
      <c r="F332" s="580"/>
      <c r="J332" s="26">
        <f t="shared" si="58"/>
        <v>0</v>
      </c>
      <c r="K332" s="5">
        <f t="shared" si="59"/>
        <v>0</v>
      </c>
      <c r="L332" s="5">
        <f t="shared" si="60"/>
        <v>0</v>
      </c>
      <c r="M332" s="5">
        <f t="shared" si="61"/>
        <v>0</v>
      </c>
      <c r="N332" s="5">
        <f t="shared" si="62"/>
        <v>0</v>
      </c>
      <c r="O332" s="5">
        <f t="shared" si="63"/>
        <v>0</v>
      </c>
      <c r="P332" s="5">
        <f t="shared" si="64"/>
        <v>0</v>
      </c>
      <c r="Q332" s="5">
        <f t="shared" si="65"/>
        <v>0</v>
      </c>
      <c r="R332" s="5">
        <f t="shared" si="66"/>
        <v>0</v>
      </c>
      <c r="S332" s="5">
        <f t="shared" si="67"/>
        <v>0</v>
      </c>
      <c r="T332" s="5">
        <f t="shared" si="68"/>
        <v>0</v>
      </c>
      <c r="U332" s="5">
        <f t="shared" si="69"/>
        <v>0</v>
      </c>
      <c r="V332" s="5">
        <f t="shared" si="57"/>
        <v>0</v>
      </c>
    </row>
    <row r="333" spans="1:22" ht="13.5" customHeight="1" x14ac:dyDescent="0.25">
      <c r="A333" s="594"/>
      <c r="B333" s="377"/>
      <c r="C333" s="377"/>
      <c r="D333" s="443">
        <f t="shared" si="56"/>
        <v>100</v>
      </c>
      <c r="E333" s="580"/>
      <c r="F333" s="580"/>
      <c r="J333" s="26">
        <f t="shared" si="58"/>
        <v>0</v>
      </c>
      <c r="K333" s="5">
        <f t="shared" si="59"/>
        <v>0</v>
      </c>
      <c r="L333" s="5">
        <f t="shared" si="60"/>
        <v>0</v>
      </c>
      <c r="M333" s="5">
        <f t="shared" si="61"/>
        <v>0</v>
      </c>
      <c r="N333" s="5">
        <f t="shared" si="62"/>
        <v>0</v>
      </c>
      <c r="O333" s="5">
        <f t="shared" si="63"/>
        <v>0</v>
      </c>
      <c r="P333" s="5">
        <f t="shared" si="64"/>
        <v>0</v>
      </c>
      <c r="Q333" s="5">
        <f t="shared" si="65"/>
        <v>0</v>
      </c>
      <c r="R333" s="5">
        <f t="shared" si="66"/>
        <v>0</v>
      </c>
      <c r="S333" s="5">
        <f t="shared" si="67"/>
        <v>0</v>
      </c>
      <c r="T333" s="5">
        <f t="shared" si="68"/>
        <v>0</v>
      </c>
      <c r="U333" s="5">
        <f t="shared" si="69"/>
        <v>0</v>
      </c>
      <c r="V333" s="5">
        <f t="shared" si="57"/>
        <v>0</v>
      </c>
    </row>
    <row r="334" spans="1:22" ht="13.5" customHeight="1" x14ac:dyDescent="0.25">
      <c r="A334" s="594"/>
      <c r="B334" s="377"/>
      <c r="C334" s="377"/>
      <c r="D334" s="443">
        <f t="shared" si="56"/>
        <v>100</v>
      </c>
      <c r="E334" s="580"/>
      <c r="F334" s="580"/>
      <c r="J334" s="26">
        <f t="shared" si="58"/>
        <v>0</v>
      </c>
      <c r="K334" s="5">
        <f t="shared" si="59"/>
        <v>0</v>
      </c>
      <c r="L334" s="5">
        <f t="shared" si="60"/>
        <v>0</v>
      </c>
      <c r="M334" s="5">
        <f t="shared" si="61"/>
        <v>0</v>
      </c>
      <c r="N334" s="5">
        <f t="shared" si="62"/>
        <v>0</v>
      </c>
      <c r="O334" s="5">
        <f t="shared" si="63"/>
        <v>0</v>
      </c>
      <c r="P334" s="5">
        <f t="shared" si="64"/>
        <v>0</v>
      </c>
      <c r="Q334" s="5">
        <f t="shared" si="65"/>
        <v>0</v>
      </c>
      <c r="R334" s="5">
        <f t="shared" si="66"/>
        <v>0</v>
      </c>
      <c r="S334" s="5">
        <f t="shared" si="67"/>
        <v>0</v>
      </c>
      <c r="T334" s="5">
        <f t="shared" si="68"/>
        <v>0</v>
      </c>
      <c r="U334" s="5">
        <f t="shared" si="69"/>
        <v>0</v>
      </c>
      <c r="V334" s="5">
        <f t="shared" si="57"/>
        <v>0</v>
      </c>
    </row>
    <row r="335" spans="1:22" ht="13.5" customHeight="1" x14ac:dyDescent="0.25">
      <c r="A335" s="594"/>
      <c r="B335" s="377"/>
      <c r="C335" s="377"/>
      <c r="D335" s="443">
        <f t="shared" si="56"/>
        <v>100</v>
      </c>
      <c r="E335" s="580"/>
      <c r="F335" s="580"/>
      <c r="J335" s="26">
        <f t="shared" si="58"/>
        <v>0</v>
      </c>
      <c r="K335" s="5">
        <f t="shared" si="59"/>
        <v>0</v>
      </c>
      <c r="L335" s="5">
        <f t="shared" si="60"/>
        <v>0</v>
      </c>
      <c r="M335" s="5">
        <f t="shared" si="61"/>
        <v>0</v>
      </c>
      <c r="N335" s="5">
        <f t="shared" si="62"/>
        <v>0</v>
      </c>
      <c r="O335" s="5">
        <f t="shared" si="63"/>
        <v>0</v>
      </c>
      <c r="P335" s="5">
        <f t="shared" si="64"/>
        <v>0</v>
      </c>
      <c r="Q335" s="5">
        <f t="shared" si="65"/>
        <v>0</v>
      </c>
      <c r="R335" s="5">
        <f t="shared" si="66"/>
        <v>0</v>
      </c>
      <c r="S335" s="5">
        <f t="shared" si="67"/>
        <v>0</v>
      </c>
      <c r="T335" s="5">
        <f t="shared" si="68"/>
        <v>0</v>
      </c>
      <c r="U335" s="5">
        <f t="shared" si="69"/>
        <v>0</v>
      </c>
      <c r="V335" s="5">
        <f t="shared" si="57"/>
        <v>0</v>
      </c>
    </row>
    <row r="336" spans="1:22" ht="13.5" customHeight="1" x14ac:dyDescent="0.25">
      <c r="A336" s="594"/>
      <c r="B336" s="377"/>
      <c r="C336" s="377"/>
      <c r="D336" s="443">
        <f t="shared" si="56"/>
        <v>100</v>
      </c>
      <c r="E336" s="580"/>
      <c r="F336" s="580"/>
      <c r="J336" s="26">
        <f t="shared" si="58"/>
        <v>0</v>
      </c>
      <c r="K336" s="5">
        <f t="shared" si="59"/>
        <v>0</v>
      </c>
      <c r="L336" s="5">
        <f t="shared" si="60"/>
        <v>0</v>
      </c>
      <c r="M336" s="5">
        <f t="shared" si="61"/>
        <v>0</v>
      </c>
      <c r="N336" s="5">
        <f t="shared" si="62"/>
        <v>0</v>
      </c>
      <c r="O336" s="5">
        <f t="shared" si="63"/>
        <v>0</v>
      </c>
      <c r="P336" s="5">
        <f t="shared" si="64"/>
        <v>0</v>
      </c>
      <c r="Q336" s="5">
        <f t="shared" si="65"/>
        <v>0</v>
      </c>
      <c r="R336" s="5">
        <f t="shared" si="66"/>
        <v>0</v>
      </c>
      <c r="S336" s="5">
        <f t="shared" si="67"/>
        <v>0</v>
      </c>
      <c r="T336" s="5">
        <f t="shared" si="68"/>
        <v>0</v>
      </c>
      <c r="U336" s="5">
        <f t="shared" si="69"/>
        <v>0</v>
      </c>
      <c r="V336" s="5">
        <f t="shared" si="57"/>
        <v>0</v>
      </c>
    </row>
    <row r="337" spans="1:22" ht="13.5" customHeight="1" x14ac:dyDescent="0.25">
      <c r="A337" s="594"/>
      <c r="B337" s="377"/>
      <c r="C337" s="377"/>
      <c r="D337" s="443">
        <f t="shared" si="56"/>
        <v>100</v>
      </c>
      <c r="E337" s="580"/>
      <c r="F337" s="580"/>
      <c r="J337" s="26">
        <f t="shared" si="58"/>
        <v>0</v>
      </c>
      <c r="K337" s="5">
        <f t="shared" si="59"/>
        <v>0</v>
      </c>
      <c r="L337" s="5">
        <f t="shared" si="60"/>
        <v>0</v>
      </c>
      <c r="M337" s="5">
        <f t="shared" si="61"/>
        <v>0</v>
      </c>
      <c r="N337" s="5">
        <f t="shared" si="62"/>
        <v>0</v>
      </c>
      <c r="O337" s="5">
        <f t="shared" si="63"/>
        <v>0</v>
      </c>
      <c r="P337" s="5">
        <f t="shared" si="64"/>
        <v>0</v>
      </c>
      <c r="Q337" s="5">
        <f t="shared" si="65"/>
        <v>0</v>
      </c>
      <c r="R337" s="5">
        <f t="shared" si="66"/>
        <v>0</v>
      </c>
      <c r="S337" s="5">
        <f t="shared" si="67"/>
        <v>0</v>
      </c>
      <c r="T337" s="5">
        <f t="shared" si="68"/>
        <v>0</v>
      </c>
      <c r="U337" s="5">
        <f t="shared" si="69"/>
        <v>0</v>
      </c>
      <c r="V337" s="5">
        <f t="shared" si="57"/>
        <v>0</v>
      </c>
    </row>
    <row r="338" spans="1:22" ht="13.5" customHeight="1" x14ac:dyDescent="0.25">
      <c r="A338" s="594"/>
      <c r="B338" s="377"/>
      <c r="C338" s="377"/>
      <c r="D338" s="443">
        <f t="shared" si="56"/>
        <v>100</v>
      </c>
      <c r="E338" s="580"/>
      <c r="F338" s="580"/>
      <c r="J338" s="26">
        <f t="shared" si="58"/>
        <v>0</v>
      </c>
      <c r="K338" s="5">
        <f t="shared" si="59"/>
        <v>0</v>
      </c>
      <c r="L338" s="5">
        <f t="shared" si="60"/>
        <v>0</v>
      </c>
      <c r="M338" s="5">
        <f t="shared" si="61"/>
        <v>0</v>
      </c>
      <c r="N338" s="5">
        <f t="shared" si="62"/>
        <v>0</v>
      </c>
      <c r="O338" s="5">
        <f t="shared" si="63"/>
        <v>0</v>
      </c>
      <c r="P338" s="5">
        <f t="shared" si="64"/>
        <v>0</v>
      </c>
      <c r="Q338" s="5">
        <f t="shared" si="65"/>
        <v>0</v>
      </c>
      <c r="R338" s="5">
        <f t="shared" si="66"/>
        <v>0</v>
      </c>
      <c r="S338" s="5">
        <f t="shared" si="67"/>
        <v>0</v>
      </c>
      <c r="T338" s="5">
        <f t="shared" si="68"/>
        <v>0</v>
      </c>
      <c r="U338" s="5">
        <f t="shared" si="69"/>
        <v>0</v>
      </c>
      <c r="V338" s="5">
        <f t="shared" si="57"/>
        <v>0</v>
      </c>
    </row>
    <row r="339" spans="1:22" ht="13.5" customHeight="1" x14ac:dyDescent="0.25">
      <c r="A339" s="594"/>
      <c r="B339" s="377"/>
      <c r="C339" s="377"/>
      <c r="D339" s="443">
        <f t="shared" si="56"/>
        <v>100</v>
      </c>
      <c r="E339" s="580"/>
      <c r="F339" s="580"/>
      <c r="J339" s="26">
        <f t="shared" si="58"/>
        <v>0</v>
      </c>
      <c r="K339" s="5">
        <f t="shared" si="59"/>
        <v>0</v>
      </c>
      <c r="L339" s="5">
        <f t="shared" si="60"/>
        <v>0</v>
      </c>
      <c r="M339" s="5">
        <f t="shared" si="61"/>
        <v>0</v>
      </c>
      <c r="N339" s="5">
        <f t="shared" si="62"/>
        <v>0</v>
      </c>
      <c r="O339" s="5">
        <f t="shared" si="63"/>
        <v>0</v>
      </c>
      <c r="P339" s="5">
        <f t="shared" si="64"/>
        <v>0</v>
      </c>
      <c r="Q339" s="5">
        <f t="shared" si="65"/>
        <v>0</v>
      </c>
      <c r="R339" s="5">
        <f t="shared" si="66"/>
        <v>0</v>
      </c>
      <c r="S339" s="5">
        <f t="shared" si="67"/>
        <v>0</v>
      </c>
      <c r="T339" s="5">
        <f t="shared" si="68"/>
        <v>0</v>
      </c>
      <c r="U339" s="5">
        <f t="shared" si="69"/>
        <v>0</v>
      </c>
      <c r="V339" s="5">
        <f t="shared" si="57"/>
        <v>0</v>
      </c>
    </row>
    <row r="340" spans="1:22" ht="13.5" customHeight="1" x14ac:dyDescent="0.25">
      <c r="A340" s="594"/>
      <c r="B340" s="377"/>
      <c r="C340" s="377"/>
      <c r="D340" s="443">
        <f t="shared" si="56"/>
        <v>100</v>
      </c>
      <c r="E340" s="580"/>
      <c r="F340" s="580"/>
      <c r="J340" s="26">
        <f t="shared" si="58"/>
        <v>0</v>
      </c>
      <c r="K340" s="5">
        <f t="shared" si="59"/>
        <v>0</v>
      </c>
      <c r="L340" s="5">
        <f t="shared" si="60"/>
        <v>0</v>
      </c>
      <c r="M340" s="5">
        <f t="shared" si="61"/>
        <v>0</v>
      </c>
      <c r="N340" s="5">
        <f t="shared" si="62"/>
        <v>0</v>
      </c>
      <c r="O340" s="5">
        <f t="shared" si="63"/>
        <v>0</v>
      </c>
      <c r="P340" s="5">
        <f t="shared" si="64"/>
        <v>0</v>
      </c>
      <c r="Q340" s="5">
        <f t="shared" si="65"/>
        <v>0</v>
      </c>
      <c r="R340" s="5">
        <f t="shared" si="66"/>
        <v>0</v>
      </c>
      <c r="S340" s="5">
        <f t="shared" si="67"/>
        <v>0</v>
      </c>
      <c r="T340" s="5">
        <f t="shared" si="68"/>
        <v>0</v>
      </c>
      <c r="U340" s="5">
        <f t="shared" si="69"/>
        <v>0</v>
      </c>
      <c r="V340" s="5">
        <f t="shared" si="57"/>
        <v>0</v>
      </c>
    </row>
    <row r="341" spans="1:22" ht="13.5" customHeight="1" x14ac:dyDescent="0.25">
      <c r="A341" s="594"/>
      <c r="B341" s="377"/>
      <c r="C341" s="377"/>
      <c r="D341" s="443">
        <f t="shared" si="56"/>
        <v>100</v>
      </c>
      <c r="E341" s="580"/>
      <c r="F341" s="580"/>
      <c r="J341" s="26">
        <f t="shared" si="58"/>
        <v>0</v>
      </c>
      <c r="K341" s="5">
        <f t="shared" si="59"/>
        <v>0</v>
      </c>
      <c r="L341" s="5">
        <f t="shared" si="60"/>
        <v>0</v>
      </c>
      <c r="M341" s="5">
        <f t="shared" si="61"/>
        <v>0</v>
      </c>
      <c r="N341" s="5">
        <f t="shared" si="62"/>
        <v>0</v>
      </c>
      <c r="O341" s="5">
        <f t="shared" si="63"/>
        <v>0</v>
      </c>
      <c r="P341" s="5">
        <f t="shared" si="64"/>
        <v>0</v>
      </c>
      <c r="Q341" s="5">
        <f t="shared" si="65"/>
        <v>0</v>
      </c>
      <c r="R341" s="5">
        <f t="shared" si="66"/>
        <v>0</v>
      </c>
      <c r="S341" s="5">
        <f t="shared" si="67"/>
        <v>0</v>
      </c>
      <c r="T341" s="5">
        <f t="shared" si="68"/>
        <v>0</v>
      </c>
      <c r="U341" s="5">
        <f t="shared" si="69"/>
        <v>0</v>
      </c>
      <c r="V341" s="5">
        <f t="shared" si="57"/>
        <v>0</v>
      </c>
    </row>
    <row r="342" spans="1:22" ht="13.5" customHeight="1" x14ac:dyDescent="0.25">
      <c r="A342" s="594"/>
      <c r="B342" s="377"/>
      <c r="C342" s="377"/>
      <c r="D342" s="443">
        <f t="shared" si="56"/>
        <v>100</v>
      </c>
      <c r="E342" s="580"/>
      <c r="F342" s="580"/>
      <c r="J342" s="26">
        <f t="shared" si="58"/>
        <v>0</v>
      </c>
      <c r="K342" s="5">
        <f t="shared" si="59"/>
        <v>0</v>
      </c>
      <c r="L342" s="5">
        <f t="shared" si="60"/>
        <v>0</v>
      </c>
      <c r="M342" s="5">
        <f t="shared" si="61"/>
        <v>0</v>
      </c>
      <c r="N342" s="5">
        <f t="shared" si="62"/>
        <v>0</v>
      </c>
      <c r="O342" s="5">
        <f t="shared" si="63"/>
        <v>0</v>
      </c>
      <c r="P342" s="5">
        <f t="shared" si="64"/>
        <v>0</v>
      </c>
      <c r="Q342" s="5">
        <f t="shared" si="65"/>
        <v>0</v>
      </c>
      <c r="R342" s="5">
        <f t="shared" si="66"/>
        <v>0</v>
      </c>
      <c r="S342" s="5">
        <f t="shared" si="67"/>
        <v>0</v>
      </c>
      <c r="T342" s="5">
        <f t="shared" si="68"/>
        <v>0</v>
      </c>
      <c r="U342" s="5">
        <f t="shared" si="69"/>
        <v>0</v>
      </c>
      <c r="V342" s="5">
        <f t="shared" si="57"/>
        <v>0</v>
      </c>
    </row>
    <row r="343" spans="1:22" ht="13.5" customHeight="1" x14ac:dyDescent="0.25">
      <c r="A343" s="594"/>
      <c r="B343" s="377"/>
      <c r="C343" s="377"/>
      <c r="D343" s="443">
        <f t="shared" si="56"/>
        <v>100</v>
      </c>
      <c r="E343" s="580"/>
      <c r="F343" s="580"/>
      <c r="J343" s="26">
        <f t="shared" si="58"/>
        <v>0</v>
      </c>
      <c r="K343" s="5">
        <f t="shared" si="59"/>
        <v>0</v>
      </c>
      <c r="L343" s="5">
        <f t="shared" si="60"/>
        <v>0</v>
      </c>
      <c r="M343" s="5">
        <f t="shared" si="61"/>
        <v>0</v>
      </c>
      <c r="N343" s="5">
        <f t="shared" si="62"/>
        <v>0</v>
      </c>
      <c r="O343" s="5">
        <f t="shared" si="63"/>
        <v>0</v>
      </c>
      <c r="P343" s="5">
        <f t="shared" si="64"/>
        <v>0</v>
      </c>
      <c r="Q343" s="5">
        <f t="shared" si="65"/>
        <v>0</v>
      </c>
      <c r="R343" s="5">
        <f t="shared" si="66"/>
        <v>0</v>
      </c>
      <c r="S343" s="5">
        <f t="shared" si="67"/>
        <v>0</v>
      </c>
      <c r="T343" s="5">
        <f t="shared" si="68"/>
        <v>0</v>
      </c>
      <c r="U343" s="5">
        <f t="shared" si="69"/>
        <v>0</v>
      </c>
      <c r="V343" s="5">
        <f t="shared" si="57"/>
        <v>0</v>
      </c>
    </row>
    <row r="344" spans="1:22" ht="13.5" customHeight="1" x14ac:dyDescent="0.25">
      <c r="A344" s="594"/>
      <c r="B344" s="377"/>
      <c r="C344" s="377"/>
      <c r="D344" s="443">
        <f t="shared" si="56"/>
        <v>100</v>
      </c>
      <c r="E344" s="580"/>
      <c r="F344" s="580"/>
      <c r="J344" s="26">
        <f t="shared" si="58"/>
        <v>0</v>
      </c>
      <c r="K344" s="5">
        <f t="shared" si="59"/>
        <v>0</v>
      </c>
      <c r="L344" s="5">
        <f t="shared" si="60"/>
        <v>0</v>
      </c>
      <c r="M344" s="5">
        <f t="shared" si="61"/>
        <v>0</v>
      </c>
      <c r="N344" s="5">
        <f t="shared" si="62"/>
        <v>0</v>
      </c>
      <c r="O344" s="5">
        <f t="shared" si="63"/>
        <v>0</v>
      </c>
      <c r="P344" s="5">
        <f t="shared" si="64"/>
        <v>0</v>
      </c>
      <c r="Q344" s="5">
        <f t="shared" si="65"/>
        <v>0</v>
      </c>
      <c r="R344" s="5">
        <f t="shared" si="66"/>
        <v>0</v>
      </c>
      <c r="S344" s="5">
        <f t="shared" si="67"/>
        <v>0</v>
      </c>
      <c r="T344" s="5">
        <f t="shared" si="68"/>
        <v>0</v>
      </c>
      <c r="U344" s="5">
        <f t="shared" si="69"/>
        <v>0</v>
      </c>
      <c r="V344" s="5">
        <f t="shared" si="57"/>
        <v>0</v>
      </c>
    </row>
    <row r="345" spans="1:22" ht="13.5" customHeight="1" x14ac:dyDescent="0.25">
      <c r="A345" s="594"/>
      <c r="B345" s="377"/>
      <c r="C345" s="377"/>
      <c r="D345" s="443">
        <f t="shared" si="56"/>
        <v>100</v>
      </c>
      <c r="E345" s="580"/>
      <c r="F345" s="580"/>
      <c r="J345" s="26">
        <f t="shared" si="58"/>
        <v>0</v>
      </c>
      <c r="K345" s="5">
        <f t="shared" si="59"/>
        <v>0</v>
      </c>
      <c r="L345" s="5">
        <f t="shared" si="60"/>
        <v>0</v>
      </c>
      <c r="M345" s="5">
        <f t="shared" si="61"/>
        <v>0</v>
      </c>
      <c r="N345" s="5">
        <f t="shared" si="62"/>
        <v>0</v>
      </c>
      <c r="O345" s="5">
        <f t="shared" si="63"/>
        <v>0</v>
      </c>
      <c r="P345" s="5">
        <f t="shared" si="64"/>
        <v>0</v>
      </c>
      <c r="Q345" s="5">
        <f t="shared" si="65"/>
        <v>0</v>
      </c>
      <c r="R345" s="5">
        <f t="shared" si="66"/>
        <v>0</v>
      </c>
      <c r="S345" s="5">
        <f t="shared" si="67"/>
        <v>0</v>
      </c>
      <c r="T345" s="5">
        <f t="shared" si="68"/>
        <v>0</v>
      </c>
      <c r="U345" s="5">
        <f t="shared" si="69"/>
        <v>0</v>
      </c>
      <c r="V345" s="5">
        <f t="shared" si="57"/>
        <v>0</v>
      </c>
    </row>
    <row r="346" spans="1:22" ht="13.5" customHeight="1" x14ac:dyDescent="0.25">
      <c r="A346" s="594"/>
      <c r="B346" s="377"/>
      <c r="C346" s="377"/>
      <c r="D346" s="443">
        <f t="shared" ref="D346:D409" si="70">B346-C346+D345</f>
        <v>100</v>
      </c>
      <c r="E346" s="580"/>
      <c r="F346" s="580"/>
      <c r="J346" s="26">
        <f t="shared" si="58"/>
        <v>0</v>
      </c>
      <c r="K346" s="5">
        <f t="shared" si="59"/>
        <v>0</v>
      </c>
      <c r="L346" s="5">
        <f t="shared" si="60"/>
        <v>0</v>
      </c>
      <c r="M346" s="5">
        <f t="shared" si="61"/>
        <v>0</v>
      </c>
      <c r="N346" s="5">
        <f t="shared" si="62"/>
        <v>0</v>
      </c>
      <c r="O346" s="5">
        <f t="shared" si="63"/>
        <v>0</v>
      </c>
      <c r="P346" s="5">
        <f t="shared" si="64"/>
        <v>0</v>
      </c>
      <c r="Q346" s="5">
        <f t="shared" si="65"/>
        <v>0</v>
      </c>
      <c r="R346" s="5">
        <f t="shared" si="66"/>
        <v>0</v>
      </c>
      <c r="S346" s="5">
        <f t="shared" si="67"/>
        <v>0</v>
      </c>
      <c r="T346" s="5">
        <f t="shared" si="68"/>
        <v>0</v>
      </c>
      <c r="U346" s="5">
        <f t="shared" si="69"/>
        <v>0</v>
      </c>
      <c r="V346" s="5">
        <f t="shared" ref="V346:V409" si="71">IF(E346="Catch Up XP",C346,0)</f>
        <v>0</v>
      </c>
    </row>
    <row r="347" spans="1:22" ht="13.5" customHeight="1" x14ac:dyDescent="0.25">
      <c r="A347" s="594"/>
      <c r="B347" s="377"/>
      <c r="C347" s="377"/>
      <c r="D347" s="443">
        <f t="shared" si="70"/>
        <v>100</v>
      </c>
      <c r="E347" s="580"/>
      <c r="F347" s="580"/>
      <c r="J347" s="26">
        <f t="shared" ref="J347:J410" si="72">IF(E347="Attributes",C347,0)</f>
        <v>0</v>
      </c>
      <c r="K347" s="5">
        <f t="shared" ref="K347:K410" si="73">IF(E347="Skills",C347,0)</f>
        <v>0</v>
      </c>
      <c r="L347" s="5">
        <f t="shared" ref="L347:L410" si="74">IF(E347="Specialization",C347,0)</f>
        <v>0</v>
      </c>
      <c r="M347" s="5">
        <f t="shared" ref="M347:M410" si="75">IF(E347="Blood Potency",C347,0)</f>
        <v>0</v>
      </c>
      <c r="N347" s="5">
        <f t="shared" ref="N347:N410" si="76">IF(E347="Merits",C347,0)</f>
        <v>0</v>
      </c>
      <c r="O347" s="5">
        <f t="shared" ref="O347:O410" si="77">IF(E347="Lost Merits",C347,0)</f>
        <v>0</v>
      </c>
      <c r="P347" s="5">
        <f t="shared" ref="P347:P410" si="78">IF(E347="Disciplines",C347,0)</f>
        <v>0</v>
      </c>
      <c r="Q347" s="5">
        <f t="shared" ref="Q347:Q410" si="79">IF(E347="Rituals",C347,0)</f>
        <v>0</v>
      </c>
      <c r="R347" s="5">
        <f t="shared" ref="R347:R410" si="80">IF(E347="Devotions",C347,0)</f>
        <v>0</v>
      </c>
      <c r="S347" s="5">
        <f t="shared" ref="S347:S410" si="81">IF(E347="Willpower",C347,0)</f>
        <v>0</v>
      </c>
      <c r="T347" s="5">
        <f t="shared" ref="T347:T410" si="82">IF(E347="Humanity",C347,0)</f>
        <v>0</v>
      </c>
      <c r="U347" s="5">
        <f t="shared" ref="U347:U410" si="83">IF(E347="Oaths",C347,0)</f>
        <v>0</v>
      </c>
      <c r="V347" s="5">
        <f t="shared" si="71"/>
        <v>0</v>
      </c>
    </row>
    <row r="348" spans="1:22" ht="13.5" customHeight="1" x14ac:dyDescent="0.25">
      <c r="A348" s="594"/>
      <c r="B348" s="377"/>
      <c r="C348" s="377"/>
      <c r="D348" s="443">
        <f t="shared" si="70"/>
        <v>100</v>
      </c>
      <c r="E348" s="580"/>
      <c r="F348" s="580"/>
      <c r="J348" s="26">
        <f t="shared" si="72"/>
        <v>0</v>
      </c>
      <c r="K348" s="5">
        <f t="shared" si="73"/>
        <v>0</v>
      </c>
      <c r="L348" s="5">
        <f t="shared" si="74"/>
        <v>0</v>
      </c>
      <c r="M348" s="5">
        <f t="shared" si="75"/>
        <v>0</v>
      </c>
      <c r="N348" s="5">
        <f t="shared" si="76"/>
        <v>0</v>
      </c>
      <c r="O348" s="5">
        <f t="shared" si="77"/>
        <v>0</v>
      </c>
      <c r="P348" s="5">
        <f t="shared" si="78"/>
        <v>0</v>
      </c>
      <c r="Q348" s="5">
        <f t="shared" si="79"/>
        <v>0</v>
      </c>
      <c r="R348" s="5">
        <f t="shared" si="80"/>
        <v>0</v>
      </c>
      <c r="S348" s="5">
        <f t="shared" si="81"/>
        <v>0</v>
      </c>
      <c r="T348" s="5">
        <f t="shared" si="82"/>
        <v>0</v>
      </c>
      <c r="U348" s="5">
        <f t="shared" si="83"/>
        <v>0</v>
      </c>
      <c r="V348" s="5">
        <f t="shared" si="71"/>
        <v>0</v>
      </c>
    </row>
    <row r="349" spans="1:22" ht="13.5" customHeight="1" x14ac:dyDescent="0.25">
      <c r="A349" s="594"/>
      <c r="B349" s="377"/>
      <c r="C349" s="377"/>
      <c r="D349" s="443">
        <f t="shared" si="70"/>
        <v>100</v>
      </c>
      <c r="E349" s="580"/>
      <c r="F349" s="580"/>
      <c r="J349" s="26">
        <f t="shared" si="72"/>
        <v>0</v>
      </c>
      <c r="K349" s="5">
        <f t="shared" si="73"/>
        <v>0</v>
      </c>
      <c r="L349" s="5">
        <f t="shared" si="74"/>
        <v>0</v>
      </c>
      <c r="M349" s="5">
        <f t="shared" si="75"/>
        <v>0</v>
      </c>
      <c r="N349" s="5">
        <f t="shared" si="76"/>
        <v>0</v>
      </c>
      <c r="O349" s="5">
        <f t="shared" si="77"/>
        <v>0</v>
      </c>
      <c r="P349" s="5">
        <f t="shared" si="78"/>
        <v>0</v>
      </c>
      <c r="Q349" s="5">
        <f t="shared" si="79"/>
        <v>0</v>
      </c>
      <c r="R349" s="5">
        <f t="shared" si="80"/>
        <v>0</v>
      </c>
      <c r="S349" s="5">
        <f t="shared" si="81"/>
        <v>0</v>
      </c>
      <c r="T349" s="5">
        <f t="shared" si="82"/>
        <v>0</v>
      </c>
      <c r="U349" s="5">
        <f t="shared" si="83"/>
        <v>0</v>
      </c>
      <c r="V349" s="5">
        <f t="shared" si="71"/>
        <v>0</v>
      </c>
    </row>
    <row r="350" spans="1:22" ht="13.5" customHeight="1" x14ac:dyDescent="0.25">
      <c r="A350" s="594"/>
      <c r="B350" s="377"/>
      <c r="C350" s="377"/>
      <c r="D350" s="443">
        <f t="shared" si="70"/>
        <v>100</v>
      </c>
      <c r="E350" s="580"/>
      <c r="F350" s="580"/>
      <c r="J350" s="26">
        <f t="shared" si="72"/>
        <v>0</v>
      </c>
      <c r="K350" s="5">
        <f t="shared" si="73"/>
        <v>0</v>
      </c>
      <c r="L350" s="5">
        <f t="shared" si="74"/>
        <v>0</v>
      </c>
      <c r="M350" s="5">
        <f t="shared" si="75"/>
        <v>0</v>
      </c>
      <c r="N350" s="5">
        <f t="shared" si="76"/>
        <v>0</v>
      </c>
      <c r="O350" s="5">
        <f t="shared" si="77"/>
        <v>0</v>
      </c>
      <c r="P350" s="5">
        <f t="shared" si="78"/>
        <v>0</v>
      </c>
      <c r="Q350" s="5">
        <f t="shared" si="79"/>
        <v>0</v>
      </c>
      <c r="R350" s="5">
        <f t="shared" si="80"/>
        <v>0</v>
      </c>
      <c r="S350" s="5">
        <f t="shared" si="81"/>
        <v>0</v>
      </c>
      <c r="T350" s="5">
        <f t="shared" si="82"/>
        <v>0</v>
      </c>
      <c r="U350" s="5">
        <f t="shared" si="83"/>
        <v>0</v>
      </c>
      <c r="V350" s="5">
        <f t="shared" si="71"/>
        <v>0</v>
      </c>
    </row>
    <row r="351" spans="1:22" ht="13.5" customHeight="1" x14ac:dyDescent="0.25">
      <c r="A351" s="594"/>
      <c r="B351" s="377"/>
      <c r="C351" s="377"/>
      <c r="D351" s="443">
        <f t="shared" si="70"/>
        <v>100</v>
      </c>
      <c r="E351" s="580"/>
      <c r="F351" s="580"/>
      <c r="J351" s="26">
        <f t="shared" si="72"/>
        <v>0</v>
      </c>
      <c r="K351" s="5">
        <f t="shared" si="73"/>
        <v>0</v>
      </c>
      <c r="L351" s="5">
        <f t="shared" si="74"/>
        <v>0</v>
      </c>
      <c r="M351" s="5">
        <f t="shared" si="75"/>
        <v>0</v>
      </c>
      <c r="N351" s="5">
        <f t="shared" si="76"/>
        <v>0</v>
      </c>
      <c r="O351" s="5">
        <f t="shared" si="77"/>
        <v>0</v>
      </c>
      <c r="P351" s="5">
        <f t="shared" si="78"/>
        <v>0</v>
      </c>
      <c r="Q351" s="5">
        <f t="shared" si="79"/>
        <v>0</v>
      </c>
      <c r="R351" s="5">
        <f t="shared" si="80"/>
        <v>0</v>
      </c>
      <c r="S351" s="5">
        <f t="shared" si="81"/>
        <v>0</v>
      </c>
      <c r="T351" s="5">
        <f t="shared" si="82"/>
        <v>0</v>
      </c>
      <c r="U351" s="5">
        <f t="shared" si="83"/>
        <v>0</v>
      </c>
      <c r="V351" s="5">
        <f t="shared" si="71"/>
        <v>0</v>
      </c>
    </row>
    <row r="352" spans="1:22" ht="13.5" customHeight="1" x14ac:dyDescent="0.25">
      <c r="A352" s="594"/>
      <c r="B352" s="377"/>
      <c r="C352" s="377"/>
      <c r="D352" s="443">
        <f t="shared" si="70"/>
        <v>100</v>
      </c>
      <c r="E352" s="580"/>
      <c r="F352" s="580"/>
      <c r="J352" s="26">
        <f t="shared" si="72"/>
        <v>0</v>
      </c>
      <c r="K352" s="5">
        <f t="shared" si="73"/>
        <v>0</v>
      </c>
      <c r="L352" s="5">
        <f t="shared" si="74"/>
        <v>0</v>
      </c>
      <c r="M352" s="5">
        <f t="shared" si="75"/>
        <v>0</v>
      </c>
      <c r="N352" s="5">
        <f t="shared" si="76"/>
        <v>0</v>
      </c>
      <c r="O352" s="5">
        <f t="shared" si="77"/>
        <v>0</v>
      </c>
      <c r="P352" s="5">
        <f t="shared" si="78"/>
        <v>0</v>
      </c>
      <c r="Q352" s="5">
        <f t="shared" si="79"/>
        <v>0</v>
      </c>
      <c r="R352" s="5">
        <f t="shared" si="80"/>
        <v>0</v>
      </c>
      <c r="S352" s="5">
        <f t="shared" si="81"/>
        <v>0</v>
      </c>
      <c r="T352" s="5">
        <f t="shared" si="82"/>
        <v>0</v>
      </c>
      <c r="U352" s="5">
        <f t="shared" si="83"/>
        <v>0</v>
      </c>
      <c r="V352" s="5">
        <f t="shared" si="71"/>
        <v>0</v>
      </c>
    </row>
    <row r="353" spans="1:22" ht="13.5" customHeight="1" x14ac:dyDescent="0.25">
      <c r="A353" s="594"/>
      <c r="B353" s="377"/>
      <c r="C353" s="377"/>
      <c r="D353" s="443">
        <f t="shared" si="70"/>
        <v>100</v>
      </c>
      <c r="E353" s="580"/>
      <c r="F353" s="580"/>
      <c r="J353" s="26">
        <f t="shared" si="72"/>
        <v>0</v>
      </c>
      <c r="K353" s="5">
        <f t="shared" si="73"/>
        <v>0</v>
      </c>
      <c r="L353" s="5">
        <f t="shared" si="74"/>
        <v>0</v>
      </c>
      <c r="M353" s="5">
        <f t="shared" si="75"/>
        <v>0</v>
      </c>
      <c r="N353" s="5">
        <f t="shared" si="76"/>
        <v>0</v>
      </c>
      <c r="O353" s="5">
        <f t="shared" si="77"/>
        <v>0</v>
      </c>
      <c r="P353" s="5">
        <f t="shared" si="78"/>
        <v>0</v>
      </c>
      <c r="Q353" s="5">
        <f t="shared" si="79"/>
        <v>0</v>
      </c>
      <c r="R353" s="5">
        <f t="shared" si="80"/>
        <v>0</v>
      </c>
      <c r="S353" s="5">
        <f t="shared" si="81"/>
        <v>0</v>
      </c>
      <c r="T353" s="5">
        <f t="shared" si="82"/>
        <v>0</v>
      </c>
      <c r="U353" s="5">
        <f t="shared" si="83"/>
        <v>0</v>
      </c>
      <c r="V353" s="5">
        <f t="shared" si="71"/>
        <v>0</v>
      </c>
    </row>
    <row r="354" spans="1:22" ht="13.5" customHeight="1" x14ac:dyDescent="0.25">
      <c r="A354" s="594"/>
      <c r="B354" s="377"/>
      <c r="C354" s="377"/>
      <c r="D354" s="443">
        <f t="shared" si="70"/>
        <v>100</v>
      </c>
      <c r="E354" s="580"/>
      <c r="F354" s="580"/>
      <c r="J354" s="26">
        <f t="shared" si="72"/>
        <v>0</v>
      </c>
      <c r="K354" s="5">
        <f t="shared" si="73"/>
        <v>0</v>
      </c>
      <c r="L354" s="5">
        <f t="shared" si="74"/>
        <v>0</v>
      </c>
      <c r="M354" s="5">
        <f t="shared" si="75"/>
        <v>0</v>
      </c>
      <c r="N354" s="5">
        <f t="shared" si="76"/>
        <v>0</v>
      </c>
      <c r="O354" s="5">
        <f t="shared" si="77"/>
        <v>0</v>
      </c>
      <c r="P354" s="5">
        <f t="shared" si="78"/>
        <v>0</v>
      </c>
      <c r="Q354" s="5">
        <f t="shared" si="79"/>
        <v>0</v>
      </c>
      <c r="R354" s="5">
        <f t="shared" si="80"/>
        <v>0</v>
      </c>
      <c r="S354" s="5">
        <f t="shared" si="81"/>
        <v>0</v>
      </c>
      <c r="T354" s="5">
        <f t="shared" si="82"/>
        <v>0</v>
      </c>
      <c r="U354" s="5">
        <f t="shared" si="83"/>
        <v>0</v>
      </c>
      <c r="V354" s="5">
        <f t="shared" si="71"/>
        <v>0</v>
      </c>
    </row>
    <row r="355" spans="1:22" ht="13.5" customHeight="1" x14ac:dyDescent="0.25">
      <c r="A355" s="594"/>
      <c r="B355" s="377"/>
      <c r="C355" s="377"/>
      <c r="D355" s="443">
        <f t="shared" si="70"/>
        <v>100</v>
      </c>
      <c r="E355" s="580"/>
      <c r="F355" s="580"/>
      <c r="J355" s="26">
        <f t="shared" si="72"/>
        <v>0</v>
      </c>
      <c r="K355" s="5">
        <f t="shared" si="73"/>
        <v>0</v>
      </c>
      <c r="L355" s="5">
        <f t="shared" si="74"/>
        <v>0</v>
      </c>
      <c r="M355" s="5">
        <f t="shared" si="75"/>
        <v>0</v>
      </c>
      <c r="N355" s="5">
        <f t="shared" si="76"/>
        <v>0</v>
      </c>
      <c r="O355" s="5">
        <f t="shared" si="77"/>
        <v>0</v>
      </c>
      <c r="P355" s="5">
        <f t="shared" si="78"/>
        <v>0</v>
      </c>
      <c r="Q355" s="5">
        <f t="shared" si="79"/>
        <v>0</v>
      </c>
      <c r="R355" s="5">
        <f t="shared" si="80"/>
        <v>0</v>
      </c>
      <c r="S355" s="5">
        <f t="shared" si="81"/>
        <v>0</v>
      </c>
      <c r="T355" s="5">
        <f t="shared" si="82"/>
        <v>0</v>
      </c>
      <c r="U355" s="5">
        <f t="shared" si="83"/>
        <v>0</v>
      </c>
      <c r="V355" s="5">
        <f t="shared" si="71"/>
        <v>0</v>
      </c>
    </row>
    <row r="356" spans="1:22" ht="13.5" customHeight="1" x14ac:dyDescent="0.25">
      <c r="A356" s="594"/>
      <c r="B356" s="377"/>
      <c r="C356" s="377"/>
      <c r="D356" s="443">
        <f t="shared" si="70"/>
        <v>100</v>
      </c>
      <c r="E356" s="580"/>
      <c r="F356" s="580"/>
      <c r="J356" s="26">
        <f t="shared" si="72"/>
        <v>0</v>
      </c>
      <c r="K356" s="5">
        <f t="shared" si="73"/>
        <v>0</v>
      </c>
      <c r="L356" s="5">
        <f t="shared" si="74"/>
        <v>0</v>
      </c>
      <c r="M356" s="5">
        <f t="shared" si="75"/>
        <v>0</v>
      </c>
      <c r="N356" s="5">
        <f t="shared" si="76"/>
        <v>0</v>
      </c>
      <c r="O356" s="5">
        <f t="shared" si="77"/>
        <v>0</v>
      </c>
      <c r="P356" s="5">
        <f t="shared" si="78"/>
        <v>0</v>
      </c>
      <c r="Q356" s="5">
        <f t="shared" si="79"/>
        <v>0</v>
      </c>
      <c r="R356" s="5">
        <f t="shared" si="80"/>
        <v>0</v>
      </c>
      <c r="S356" s="5">
        <f t="shared" si="81"/>
        <v>0</v>
      </c>
      <c r="T356" s="5">
        <f t="shared" si="82"/>
        <v>0</v>
      </c>
      <c r="U356" s="5">
        <f t="shared" si="83"/>
        <v>0</v>
      </c>
      <c r="V356" s="5">
        <f t="shared" si="71"/>
        <v>0</v>
      </c>
    </row>
    <row r="357" spans="1:22" ht="13.5" customHeight="1" x14ac:dyDescent="0.25">
      <c r="A357" s="594"/>
      <c r="B357" s="377"/>
      <c r="C357" s="377"/>
      <c r="D357" s="443">
        <f t="shared" si="70"/>
        <v>100</v>
      </c>
      <c r="E357" s="580"/>
      <c r="F357" s="580"/>
      <c r="J357" s="26">
        <f t="shared" si="72"/>
        <v>0</v>
      </c>
      <c r="K357" s="5">
        <f t="shared" si="73"/>
        <v>0</v>
      </c>
      <c r="L357" s="5">
        <f t="shared" si="74"/>
        <v>0</v>
      </c>
      <c r="M357" s="5">
        <f t="shared" si="75"/>
        <v>0</v>
      </c>
      <c r="N357" s="5">
        <f t="shared" si="76"/>
        <v>0</v>
      </c>
      <c r="O357" s="5">
        <f t="shared" si="77"/>
        <v>0</v>
      </c>
      <c r="P357" s="5">
        <f t="shared" si="78"/>
        <v>0</v>
      </c>
      <c r="Q357" s="5">
        <f t="shared" si="79"/>
        <v>0</v>
      </c>
      <c r="R357" s="5">
        <f t="shared" si="80"/>
        <v>0</v>
      </c>
      <c r="S357" s="5">
        <f t="shared" si="81"/>
        <v>0</v>
      </c>
      <c r="T357" s="5">
        <f t="shared" si="82"/>
        <v>0</v>
      </c>
      <c r="U357" s="5">
        <f t="shared" si="83"/>
        <v>0</v>
      </c>
      <c r="V357" s="5">
        <f t="shared" si="71"/>
        <v>0</v>
      </c>
    </row>
    <row r="358" spans="1:22" ht="13.5" customHeight="1" x14ac:dyDescent="0.25">
      <c r="A358" s="594"/>
      <c r="B358" s="377"/>
      <c r="C358" s="377"/>
      <c r="D358" s="443">
        <f t="shared" si="70"/>
        <v>100</v>
      </c>
      <c r="E358" s="580"/>
      <c r="F358" s="580"/>
      <c r="J358" s="26">
        <f t="shared" si="72"/>
        <v>0</v>
      </c>
      <c r="K358" s="5">
        <f t="shared" si="73"/>
        <v>0</v>
      </c>
      <c r="L358" s="5">
        <f t="shared" si="74"/>
        <v>0</v>
      </c>
      <c r="M358" s="5">
        <f t="shared" si="75"/>
        <v>0</v>
      </c>
      <c r="N358" s="5">
        <f t="shared" si="76"/>
        <v>0</v>
      </c>
      <c r="O358" s="5">
        <f t="shared" si="77"/>
        <v>0</v>
      </c>
      <c r="P358" s="5">
        <f t="shared" si="78"/>
        <v>0</v>
      </c>
      <c r="Q358" s="5">
        <f t="shared" si="79"/>
        <v>0</v>
      </c>
      <c r="R358" s="5">
        <f t="shared" si="80"/>
        <v>0</v>
      </c>
      <c r="S358" s="5">
        <f t="shared" si="81"/>
        <v>0</v>
      </c>
      <c r="T358" s="5">
        <f t="shared" si="82"/>
        <v>0</v>
      </c>
      <c r="U358" s="5">
        <f t="shared" si="83"/>
        <v>0</v>
      </c>
      <c r="V358" s="5">
        <f t="shared" si="71"/>
        <v>0</v>
      </c>
    </row>
    <row r="359" spans="1:22" ht="13.5" customHeight="1" x14ac:dyDescent="0.25">
      <c r="A359" s="594"/>
      <c r="B359" s="377"/>
      <c r="C359" s="377"/>
      <c r="D359" s="443">
        <f t="shared" si="70"/>
        <v>100</v>
      </c>
      <c r="E359" s="580"/>
      <c r="F359" s="580"/>
      <c r="J359" s="26">
        <f t="shared" si="72"/>
        <v>0</v>
      </c>
      <c r="K359" s="5">
        <f t="shared" si="73"/>
        <v>0</v>
      </c>
      <c r="L359" s="5">
        <f t="shared" si="74"/>
        <v>0</v>
      </c>
      <c r="M359" s="5">
        <f t="shared" si="75"/>
        <v>0</v>
      </c>
      <c r="N359" s="5">
        <f t="shared" si="76"/>
        <v>0</v>
      </c>
      <c r="O359" s="5">
        <f t="shared" si="77"/>
        <v>0</v>
      </c>
      <c r="P359" s="5">
        <f t="shared" si="78"/>
        <v>0</v>
      </c>
      <c r="Q359" s="5">
        <f t="shared" si="79"/>
        <v>0</v>
      </c>
      <c r="R359" s="5">
        <f t="shared" si="80"/>
        <v>0</v>
      </c>
      <c r="S359" s="5">
        <f t="shared" si="81"/>
        <v>0</v>
      </c>
      <c r="T359" s="5">
        <f t="shared" si="82"/>
        <v>0</v>
      </c>
      <c r="U359" s="5">
        <f t="shared" si="83"/>
        <v>0</v>
      </c>
      <c r="V359" s="5">
        <f t="shared" si="71"/>
        <v>0</v>
      </c>
    </row>
    <row r="360" spans="1:22" ht="13.5" customHeight="1" x14ac:dyDescent="0.25">
      <c r="A360" s="594"/>
      <c r="B360" s="377"/>
      <c r="C360" s="377"/>
      <c r="D360" s="443">
        <f t="shared" si="70"/>
        <v>100</v>
      </c>
      <c r="E360" s="580"/>
      <c r="F360" s="580"/>
      <c r="J360" s="26">
        <f t="shared" si="72"/>
        <v>0</v>
      </c>
      <c r="K360" s="5">
        <f t="shared" si="73"/>
        <v>0</v>
      </c>
      <c r="L360" s="5">
        <f t="shared" si="74"/>
        <v>0</v>
      </c>
      <c r="M360" s="5">
        <f t="shared" si="75"/>
        <v>0</v>
      </c>
      <c r="N360" s="5">
        <f t="shared" si="76"/>
        <v>0</v>
      </c>
      <c r="O360" s="5">
        <f t="shared" si="77"/>
        <v>0</v>
      </c>
      <c r="P360" s="5">
        <f t="shared" si="78"/>
        <v>0</v>
      </c>
      <c r="Q360" s="5">
        <f t="shared" si="79"/>
        <v>0</v>
      </c>
      <c r="R360" s="5">
        <f t="shared" si="80"/>
        <v>0</v>
      </c>
      <c r="S360" s="5">
        <f t="shared" si="81"/>
        <v>0</v>
      </c>
      <c r="T360" s="5">
        <f t="shared" si="82"/>
        <v>0</v>
      </c>
      <c r="U360" s="5">
        <f t="shared" si="83"/>
        <v>0</v>
      </c>
      <c r="V360" s="5">
        <f t="shared" si="71"/>
        <v>0</v>
      </c>
    </row>
    <row r="361" spans="1:22" ht="13.5" customHeight="1" x14ac:dyDescent="0.25">
      <c r="A361" s="594"/>
      <c r="B361" s="377"/>
      <c r="C361" s="377"/>
      <c r="D361" s="443">
        <f t="shared" si="70"/>
        <v>100</v>
      </c>
      <c r="E361" s="580"/>
      <c r="F361" s="580"/>
      <c r="J361" s="26">
        <f t="shared" si="72"/>
        <v>0</v>
      </c>
      <c r="K361" s="5">
        <f t="shared" si="73"/>
        <v>0</v>
      </c>
      <c r="L361" s="5">
        <f t="shared" si="74"/>
        <v>0</v>
      </c>
      <c r="M361" s="5">
        <f t="shared" si="75"/>
        <v>0</v>
      </c>
      <c r="N361" s="5">
        <f t="shared" si="76"/>
        <v>0</v>
      </c>
      <c r="O361" s="5">
        <f t="shared" si="77"/>
        <v>0</v>
      </c>
      <c r="P361" s="5">
        <f t="shared" si="78"/>
        <v>0</v>
      </c>
      <c r="Q361" s="5">
        <f t="shared" si="79"/>
        <v>0</v>
      </c>
      <c r="R361" s="5">
        <f t="shared" si="80"/>
        <v>0</v>
      </c>
      <c r="S361" s="5">
        <f t="shared" si="81"/>
        <v>0</v>
      </c>
      <c r="T361" s="5">
        <f t="shared" si="82"/>
        <v>0</v>
      </c>
      <c r="U361" s="5">
        <f t="shared" si="83"/>
        <v>0</v>
      </c>
      <c r="V361" s="5">
        <f t="shared" si="71"/>
        <v>0</v>
      </c>
    </row>
    <row r="362" spans="1:22" ht="13.5" customHeight="1" x14ac:dyDescent="0.25">
      <c r="A362" s="594"/>
      <c r="B362" s="377"/>
      <c r="C362" s="377"/>
      <c r="D362" s="443">
        <f t="shared" si="70"/>
        <v>100</v>
      </c>
      <c r="E362" s="580"/>
      <c r="F362" s="580"/>
      <c r="J362" s="26">
        <f t="shared" si="72"/>
        <v>0</v>
      </c>
      <c r="K362" s="5">
        <f t="shared" si="73"/>
        <v>0</v>
      </c>
      <c r="L362" s="5">
        <f t="shared" si="74"/>
        <v>0</v>
      </c>
      <c r="M362" s="5">
        <f t="shared" si="75"/>
        <v>0</v>
      </c>
      <c r="N362" s="5">
        <f t="shared" si="76"/>
        <v>0</v>
      </c>
      <c r="O362" s="5">
        <f t="shared" si="77"/>
        <v>0</v>
      </c>
      <c r="P362" s="5">
        <f t="shared" si="78"/>
        <v>0</v>
      </c>
      <c r="Q362" s="5">
        <f t="shared" si="79"/>
        <v>0</v>
      </c>
      <c r="R362" s="5">
        <f t="shared" si="80"/>
        <v>0</v>
      </c>
      <c r="S362" s="5">
        <f t="shared" si="81"/>
        <v>0</v>
      </c>
      <c r="T362" s="5">
        <f t="shared" si="82"/>
        <v>0</v>
      </c>
      <c r="U362" s="5">
        <f t="shared" si="83"/>
        <v>0</v>
      </c>
      <c r="V362" s="5">
        <f t="shared" si="71"/>
        <v>0</v>
      </c>
    </row>
    <row r="363" spans="1:22" ht="13.5" customHeight="1" x14ac:dyDescent="0.25">
      <c r="A363" s="594"/>
      <c r="B363" s="377"/>
      <c r="C363" s="377"/>
      <c r="D363" s="443">
        <f t="shared" si="70"/>
        <v>100</v>
      </c>
      <c r="E363" s="580"/>
      <c r="F363" s="580"/>
      <c r="J363" s="26">
        <f t="shared" si="72"/>
        <v>0</v>
      </c>
      <c r="K363" s="5">
        <f t="shared" si="73"/>
        <v>0</v>
      </c>
      <c r="L363" s="5">
        <f t="shared" si="74"/>
        <v>0</v>
      </c>
      <c r="M363" s="5">
        <f t="shared" si="75"/>
        <v>0</v>
      </c>
      <c r="N363" s="5">
        <f t="shared" si="76"/>
        <v>0</v>
      </c>
      <c r="O363" s="5">
        <f t="shared" si="77"/>
        <v>0</v>
      </c>
      <c r="P363" s="5">
        <f t="shared" si="78"/>
        <v>0</v>
      </c>
      <c r="Q363" s="5">
        <f t="shared" si="79"/>
        <v>0</v>
      </c>
      <c r="R363" s="5">
        <f t="shared" si="80"/>
        <v>0</v>
      </c>
      <c r="S363" s="5">
        <f t="shared" si="81"/>
        <v>0</v>
      </c>
      <c r="T363" s="5">
        <f t="shared" si="82"/>
        <v>0</v>
      </c>
      <c r="U363" s="5">
        <f t="shared" si="83"/>
        <v>0</v>
      </c>
      <c r="V363" s="5">
        <f t="shared" si="71"/>
        <v>0</v>
      </c>
    </row>
    <row r="364" spans="1:22" ht="13.5" customHeight="1" x14ac:dyDescent="0.25">
      <c r="A364" s="594"/>
      <c r="B364" s="377"/>
      <c r="C364" s="377"/>
      <c r="D364" s="443">
        <f t="shared" si="70"/>
        <v>100</v>
      </c>
      <c r="E364" s="580"/>
      <c r="F364" s="580"/>
      <c r="J364" s="26">
        <f t="shared" si="72"/>
        <v>0</v>
      </c>
      <c r="K364" s="5">
        <f t="shared" si="73"/>
        <v>0</v>
      </c>
      <c r="L364" s="5">
        <f t="shared" si="74"/>
        <v>0</v>
      </c>
      <c r="M364" s="5">
        <f t="shared" si="75"/>
        <v>0</v>
      </c>
      <c r="N364" s="5">
        <f t="shared" si="76"/>
        <v>0</v>
      </c>
      <c r="O364" s="5">
        <f t="shared" si="77"/>
        <v>0</v>
      </c>
      <c r="P364" s="5">
        <f t="shared" si="78"/>
        <v>0</v>
      </c>
      <c r="Q364" s="5">
        <f t="shared" si="79"/>
        <v>0</v>
      </c>
      <c r="R364" s="5">
        <f t="shared" si="80"/>
        <v>0</v>
      </c>
      <c r="S364" s="5">
        <f t="shared" si="81"/>
        <v>0</v>
      </c>
      <c r="T364" s="5">
        <f t="shared" si="82"/>
        <v>0</v>
      </c>
      <c r="U364" s="5">
        <f t="shared" si="83"/>
        <v>0</v>
      </c>
      <c r="V364" s="5">
        <f t="shared" si="71"/>
        <v>0</v>
      </c>
    </row>
    <row r="365" spans="1:22" ht="13.5" customHeight="1" x14ac:dyDescent="0.25">
      <c r="A365" s="594"/>
      <c r="B365" s="377"/>
      <c r="C365" s="377"/>
      <c r="D365" s="443">
        <f t="shared" si="70"/>
        <v>100</v>
      </c>
      <c r="E365" s="580"/>
      <c r="F365" s="580"/>
      <c r="J365" s="26">
        <f t="shared" si="72"/>
        <v>0</v>
      </c>
      <c r="K365" s="5">
        <f t="shared" si="73"/>
        <v>0</v>
      </c>
      <c r="L365" s="5">
        <f t="shared" si="74"/>
        <v>0</v>
      </c>
      <c r="M365" s="5">
        <f t="shared" si="75"/>
        <v>0</v>
      </c>
      <c r="N365" s="5">
        <f t="shared" si="76"/>
        <v>0</v>
      </c>
      <c r="O365" s="5">
        <f t="shared" si="77"/>
        <v>0</v>
      </c>
      <c r="P365" s="5">
        <f t="shared" si="78"/>
        <v>0</v>
      </c>
      <c r="Q365" s="5">
        <f t="shared" si="79"/>
        <v>0</v>
      </c>
      <c r="R365" s="5">
        <f t="shared" si="80"/>
        <v>0</v>
      </c>
      <c r="S365" s="5">
        <f t="shared" si="81"/>
        <v>0</v>
      </c>
      <c r="T365" s="5">
        <f t="shared" si="82"/>
        <v>0</v>
      </c>
      <c r="U365" s="5">
        <f t="shared" si="83"/>
        <v>0</v>
      </c>
      <c r="V365" s="5">
        <f t="shared" si="71"/>
        <v>0</v>
      </c>
    </row>
    <row r="366" spans="1:22" ht="13.5" customHeight="1" x14ac:dyDescent="0.25">
      <c r="A366" s="594"/>
      <c r="B366" s="377"/>
      <c r="C366" s="377"/>
      <c r="D366" s="443">
        <f t="shared" si="70"/>
        <v>100</v>
      </c>
      <c r="E366" s="580"/>
      <c r="F366" s="580"/>
      <c r="J366" s="26">
        <f t="shared" si="72"/>
        <v>0</v>
      </c>
      <c r="K366" s="5">
        <f t="shared" si="73"/>
        <v>0</v>
      </c>
      <c r="L366" s="5">
        <f t="shared" si="74"/>
        <v>0</v>
      </c>
      <c r="M366" s="5">
        <f t="shared" si="75"/>
        <v>0</v>
      </c>
      <c r="N366" s="5">
        <f t="shared" si="76"/>
        <v>0</v>
      </c>
      <c r="O366" s="5">
        <f t="shared" si="77"/>
        <v>0</v>
      </c>
      <c r="P366" s="5">
        <f t="shared" si="78"/>
        <v>0</v>
      </c>
      <c r="Q366" s="5">
        <f t="shared" si="79"/>
        <v>0</v>
      </c>
      <c r="R366" s="5">
        <f t="shared" si="80"/>
        <v>0</v>
      </c>
      <c r="S366" s="5">
        <f t="shared" si="81"/>
        <v>0</v>
      </c>
      <c r="T366" s="5">
        <f t="shared" si="82"/>
        <v>0</v>
      </c>
      <c r="U366" s="5">
        <f t="shared" si="83"/>
        <v>0</v>
      </c>
      <c r="V366" s="5">
        <f t="shared" si="71"/>
        <v>0</v>
      </c>
    </row>
    <row r="367" spans="1:22" ht="13.5" customHeight="1" x14ac:dyDescent="0.25">
      <c r="A367" s="594"/>
      <c r="B367" s="377"/>
      <c r="C367" s="377"/>
      <c r="D367" s="443">
        <f t="shared" si="70"/>
        <v>100</v>
      </c>
      <c r="E367" s="580"/>
      <c r="F367" s="580"/>
      <c r="J367" s="26">
        <f t="shared" si="72"/>
        <v>0</v>
      </c>
      <c r="K367" s="5">
        <f t="shared" si="73"/>
        <v>0</v>
      </c>
      <c r="L367" s="5">
        <f t="shared" si="74"/>
        <v>0</v>
      </c>
      <c r="M367" s="5">
        <f t="shared" si="75"/>
        <v>0</v>
      </c>
      <c r="N367" s="5">
        <f t="shared" si="76"/>
        <v>0</v>
      </c>
      <c r="O367" s="5">
        <f t="shared" si="77"/>
        <v>0</v>
      </c>
      <c r="P367" s="5">
        <f t="shared" si="78"/>
        <v>0</v>
      </c>
      <c r="Q367" s="5">
        <f t="shared" si="79"/>
        <v>0</v>
      </c>
      <c r="R367" s="5">
        <f t="shared" si="80"/>
        <v>0</v>
      </c>
      <c r="S367" s="5">
        <f t="shared" si="81"/>
        <v>0</v>
      </c>
      <c r="T367" s="5">
        <f t="shared" si="82"/>
        <v>0</v>
      </c>
      <c r="U367" s="5">
        <f t="shared" si="83"/>
        <v>0</v>
      </c>
      <c r="V367" s="5">
        <f t="shared" si="71"/>
        <v>0</v>
      </c>
    </row>
    <row r="368" spans="1:22" ht="13.5" customHeight="1" x14ac:dyDescent="0.25">
      <c r="A368" s="594"/>
      <c r="B368" s="377"/>
      <c r="C368" s="377"/>
      <c r="D368" s="443">
        <f t="shared" si="70"/>
        <v>100</v>
      </c>
      <c r="E368" s="580"/>
      <c r="F368" s="580"/>
      <c r="J368" s="26">
        <f t="shared" si="72"/>
        <v>0</v>
      </c>
      <c r="K368" s="5">
        <f t="shared" si="73"/>
        <v>0</v>
      </c>
      <c r="L368" s="5">
        <f t="shared" si="74"/>
        <v>0</v>
      </c>
      <c r="M368" s="5">
        <f t="shared" si="75"/>
        <v>0</v>
      </c>
      <c r="N368" s="5">
        <f t="shared" si="76"/>
        <v>0</v>
      </c>
      <c r="O368" s="5">
        <f t="shared" si="77"/>
        <v>0</v>
      </c>
      <c r="P368" s="5">
        <f t="shared" si="78"/>
        <v>0</v>
      </c>
      <c r="Q368" s="5">
        <f t="shared" si="79"/>
        <v>0</v>
      </c>
      <c r="R368" s="5">
        <f t="shared" si="80"/>
        <v>0</v>
      </c>
      <c r="S368" s="5">
        <f t="shared" si="81"/>
        <v>0</v>
      </c>
      <c r="T368" s="5">
        <f t="shared" si="82"/>
        <v>0</v>
      </c>
      <c r="U368" s="5">
        <f t="shared" si="83"/>
        <v>0</v>
      </c>
      <c r="V368" s="5">
        <f t="shared" si="71"/>
        <v>0</v>
      </c>
    </row>
    <row r="369" spans="1:22" ht="13.5" customHeight="1" x14ac:dyDescent="0.25">
      <c r="A369" s="594"/>
      <c r="B369" s="377"/>
      <c r="C369" s="377"/>
      <c r="D369" s="443">
        <f t="shared" si="70"/>
        <v>100</v>
      </c>
      <c r="E369" s="580"/>
      <c r="F369" s="580"/>
      <c r="J369" s="26">
        <f t="shared" si="72"/>
        <v>0</v>
      </c>
      <c r="K369" s="5">
        <f t="shared" si="73"/>
        <v>0</v>
      </c>
      <c r="L369" s="5">
        <f t="shared" si="74"/>
        <v>0</v>
      </c>
      <c r="M369" s="5">
        <f t="shared" si="75"/>
        <v>0</v>
      </c>
      <c r="N369" s="5">
        <f t="shared" si="76"/>
        <v>0</v>
      </c>
      <c r="O369" s="5">
        <f t="shared" si="77"/>
        <v>0</v>
      </c>
      <c r="P369" s="5">
        <f t="shared" si="78"/>
        <v>0</v>
      </c>
      <c r="Q369" s="5">
        <f t="shared" si="79"/>
        <v>0</v>
      </c>
      <c r="R369" s="5">
        <f t="shared" si="80"/>
        <v>0</v>
      </c>
      <c r="S369" s="5">
        <f t="shared" si="81"/>
        <v>0</v>
      </c>
      <c r="T369" s="5">
        <f t="shared" si="82"/>
        <v>0</v>
      </c>
      <c r="U369" s="5">
        <f t="shared" si="83"/>
        <v>0</v>
      </c>
      <c r="V369" s="5">
        <f t="shared" si="71"/>
        <v>0</v>
      </c>
    </row>
    <row r="370" spans="1:22" ht="13.5" customHeight="1" x14ac:dyDescent="0.25">
      <c r="A370" s="594"/>
      <c r="B370" s="377"/>
      <c r="C370" s="377"/>
      <c r="D370" s="443">
        <f t="shared" si="70"/>
        <v>100</v>
      </c>
      <c r="E370" s="580"/>
      <c r="F370" s="580"/>
      <c r="J370" s="26">
        <f t="shared" si="72"/>
        <v>0</v>
      </c>
      <c r="K370" s="5">
        <f t="shared" si="73"/>
        <v>0</v>
      </c>
      <c r="L370" s="5">
        <f t="shared" si="74"/>
        <v>0</v>
      </c>
      <c r="M370" s="5">
        <f t="shared" si="75"/>
        <v>0</v>
      </c>
      <c r="N370" s="5">
        <f t="shared" si="76"/>
        <v>0</v>
      </c>
      <c r="O370" s="5">
        <f t="shared" si="77"/>
        <v>0</v>
      </c>
      <c r="P370" s="5">
        <f t="shared" si="78"/>
        <v>0</v>
      </c>
      <c r="Q370" s="5">
        <f t="shared" si="79"/>
        <v>0</v>
      </c>
      <c r="R370" s="5">
        <f t="shared" si="80"/>
        <v>0</v>
      </c>
      <c r="S370" s="5">
        <f t="shared" si="81"/>
        <v>0</v>
      </c>
      <c r="T370" s="5">
        <f t="shared" si="82"/>
        <v>0</v>
      </c>
      <c r="U370" s="5">
        <f t="shared" si="83"/>
        <v>0</v>
      </c>
      <c r="V370" s="5">
        <f t="shared" si="71"/>
        <v>0</v>
      </c>
    </row>
    <row r="371" spans="1:22" ht="13.5" customHeight="1" x14ac:dyDescent="0.25">
      <c r="A371" s="594"/>
      <c r="B371" s="377"/>
      <c r="C371" s="377"/>
      <c r="D371" s="443">
        <f t="shared" si="70"/>
        <v>100</v>
      </c>
      <c r="E371" s="580"/>
      <c r="F371" s="580"/>
      <c r="J371" s="26">
        <f t="shared" si="72"/>
        <v>0</v>
      </c>
      <c r="K371" s="5">
        <f t="shared" si="73"/>
        <v>0</v>
      </c>
      <c r="L371" s="5">
        <f t="shared" si="74"/>
        <v>0</v>
      </c>
      <c r="M371" s="5">
        <f t="shared" si="75"/>
        <v>0</v>
      </c>
      <c r="N371" s="5">
        <f t="shared" si="76"/>
        <v>0</v>
      </c>
      <c r="O371" s="5">
        <f t="shared" si="77"/>
        <v>0</v>
      </c>
      <c r="P371" s="5">
        <f t="shared" si="78"/>
        <v>0</v>
      </c>
      <c r="Q371" s="5">
        <f t="shared" si="79"/>
        <v>0</v>
      </c>
      <c r="R371" s="5">
        <f t="shared" si="80"/>
        <v>0</v>
      </c>
      <c r="S371" s="5">
        <f t="shared" si="81"/>
        <v>0</v>
      </c>
      <c r="T371" s="5">
        <f t="shared" si="82"/>
        <v>0</v>
      </c>
      <c r="U371" s="5">
        <f t="shared" si="83"/>
        <v>0</v>
      </c>
      <c r="V371" s="5">
        <f t="shared" si="71"/>
        <v>0</v>
      </c>
    </row>
    <row r="372" spans="1:22" ht="13.5" customHeight="1" x14ac:dyDescent="0.25">
      <c r="A372" s="594"/>
      <c r="B372" s="377"/>
      <c r="C372" s="377"/>
      <c r="D372" s="443">
        <f t="shared" si="70"/>
        <v>100</v>
      </c>
      <c r="E372" s="580"/>
      <c r="F372" s="580"/>
      <c r="J372" s="26">
        <f t="shared" si="72"/>
        <v>0</v>
      </c>
      <c r="K372" s="5">
        <f t="shared" si="73"/>
        <v>0</v>
      </c>
      <c r="L372" s="5">
        <f t="shared" si="74"/>
        <v>0</v>
      </c>
      <c r="M372" s="5">
        <f t="shared" si="75"/>
        <v>0</v>
      </c>
      <c r="N372" s="5">
        <f t="shared" si="76"/>
        <v>0</v>
      </c>
      <c r="O372" s="5">
        <f t="shared" si="77"/>
        <v>0</v>
      </c>
      <c r="P372" s="5">
        <f t="shared" si="78"/>
        <v>0</v>
      </c>
      <c r="Q372" s="5">
        <f t="shared" si="79"/>
        <v>0</v>
      </c>
      <c r="R372" s="5">
        <f t="shared" si="80"/>
        <v>0</v>
      </c>
      <c r="S372" s="5">
        <f t="shared" si="81"/>
        <v>0</v>
      </c>
      <c r="T372" s="5">
        <f t="shared" si="82"/>
        <v>0</v>
      </c>
      <c r="U372" s="5">
        <f t="shared" si="83"/>
        <v>0</v>
      </c>
      <c r="V372" s="5">
        <f t="shared" si="71"/>
        <v>0</v>
      </c>
    </row>
    <row r="373" spans="1:22" ht="13.5" customHeight="1" x14ac:dyDescent="0.25">
      <c r="A373" s="594"/>
      <c r="B373" s="377"/>
      <c r="C373" s="377"/>
      <c r="D373" s="443">
        <f t="shared" si="70"/>
        <v>100</v>
      </c>
      <c r="E373" s="580"/>
      <c r="F373" s="580"/>
      <c r="J373" s="26">
        <f t="shared" si="72"/>
        <v>0</v>
      </c>
      <c r="K373" s="5">
        <f t="shared" si="73"/>
        <v>0</v>
      </c>
      <c r="L373" s="5">
        <f t="shared" si="74"/>
        <v>0</v>
      </c>
      <c r="M373" s="5">
        <f t="shared" si="75"/>
        <v>0</v>
      </c>
      <c r="N373" s="5">
        <f t="shared" si="76"/>
        <v>0</v>
      </c>
      <c r="O373" s="5">
        <f t="shared" si="77"/>
        <v>0</v>
      </c>
      <c r="P373" s="5">
        <f t="shared" si="78"/>
        <v>0</v>
      </c>
      <c r="Q373" s="5">
        <f t="shared" si="79"/>
        <v>0</v>
      </c>
      <c r="R373" s="5">
        <f t="shared" si="80"/>
        <v>0</v>
      </c>
      <c r="S373" s="5">
        <f t="shared" si="81"/>
        <v>0</v>
      </c>
      <c r="T373" s="5">
        <f t="shared" si="82"/>
        <v>0</v>
      </c>
      <c r="U373" s="5">
        <f t="shared" si="83"/>
        <v>0</v>
      </c>
      <c r="V373" s="5">
        <f t="shared" si="71"/>
        <v>0</v>
      </c>
    </row>
    <row r="374" spans="1:22" ht="13.5" customHeight="1" x14ac:dyDescent="0.25">
      <c r="A374" s="594"/>
      <c r="B374" s="377"/>
      <c r="C374" s="377"/>
      <c r="D374" s="443">
        <f t="shared" si="70"/>
        <v>100</v>
      </c>
      <c r="E374" s="580"/>
      <c r="F374" s="580"/>
      <c r="J374" s="26">
        <f t="shared" si="72"/>
        <v>0</v>
      </c>
      <c r="K374" s="5">
        <f t="shared" si="73"/>
        <v>0</v>
      </c>
      <c r="L374" s="5">
        <f t="shared" si="74"/>
        <v>0</v>
      </c>
      <c r="M374" s="5">
        <f t="shared" si="75"/>
        <v>0</v>
      </c>
      <c r="N374" s="5">
        <f t="shared" si="76"/>
        <v>0</v>
      </c>
      <c r="O374" s="5">
        <f t="shared" si="77"/>
        <v>0</v>
      </c>
      <c r="P374" s="5">
        <f t="shared" si="78"/>
        <v>0</v>
      </c>
      <c r="Q374" s="5">
        <f t="shared" si="79"/>
        <v>0</v>
      </c>
      <c r="R374" s="5">
        <f t="shared" si="80"/>
        <v>0</v>
      </c>
      <c r="S374" s="5">
        <f t="shared" si="81"/>
        <v>0</v>
      </c>
      <c r="T374" s="5">
        <f t="shared" si="82"/>
        <v>0</v>
      </c>
      <c r="U374" s="5">
        <f t="shared" si="83"/>
        <v>0</v>
      </c>
      <c r="V374" s="5">
        <f t="shared" si="71"/>
        <v>0</v>
      </c>
    </row>
    <row r="375" spans="1:22" ht="13.5" customHeight="1" x14ac:dyDescent="0.25">
      <c r="A375" s="594"/>
      <c r="B375" s="377"/>
      <c r="C375" s="377"/>
      <c r="D375" s="443">
        <f t="shared" si="70"/>
        <v>100</v>
      </c>
      <c r="E375" s="580"/>
      <c r="F375" s="580"/>
      <c r="J375" s="26">
        <f t="shared" si="72"/>
        <v>0</v>
      </c>
      <c r="K375" s="5">
        <f t="shared" si="73"/>
        <v>0</v>
      </c>
      <c r="L375" s="5">
        <f t="shared" si="74"/>
        <v>0</v>
      </c>
      <c r="M375" s="5">
        <f t="shared" si="75"/>
        <v>0</v>
      </c>
      <c r="N375" s="5">
        <f t="shared" si="76"/>
        <v>0</v>
      </c>
      <c r="O375" s="5">
        <f t="shared" si="77"/>
        <v>0</v>
      </c>
      <c r="P375" s="5">
        <f t="shared" si="78"/>
        <v>0</v>
      </c>
      <c r="Q375" s="5">
        <f t="shared" si="79"/>
        <v>0</v>
      </c>
      <c r="R375" s="5">
        <f t="shared" si="80"/>
        <v>0</v>
      </c>
      <c r="S375" s="5">
        <f t="shared" si="81"/>
        <v>0</v>
      </c>
      <c r="T375" s="5">
        <f t="shared" si="82"/>
        <v>0</v>
      </c>
      <c r="U375" s="5">
        <f t="shared" si="83"/>
        <v>0</v>
      </c>
      <c r="V375" s="5">
        <f t="shared" si="71"/>
        <v>0</v>
      </c>
    </row>
    <row r="376" spans="1:22" ht="13.5" customHeight="1" x14ac:dyDescent="0.25">
      <c r="A376" s="594"/>
      <c r="B376" s="377"/>
      <c r="C376" s="377"/>
      <c r="D376" s="443">
        <f t="shared" si="70"/>
        <v>100</v>
      </c>
      <c r="E376" s="580"/>
      <c r="F376" s="580"/>
      <c r="J376" s="26">
        <f t="shared" si="72"/>
        <v>0</v>
      </c>
      <c r="K376" s="5">
        <f t="shared" si="73"/>
        <v>0</v>
      </c>
      <c r="L376" s="5">
        <f t="shared" si="74"/>
        <v>0</v>
      </c>
      <c r="M376" s="5">
        <f t="shared" si="75"/>
        <v>0</v>
      </c>
      <c r="N376" s="5">
        <f t="shared" si="76"/>
        <v>0</v>
      </c>
      <c r="O376" s="5">
        <f t="shared" si="77"/>
        <v>0</v>
      </c>
      <c r="P376" s="5">
        <f t="shared" si="78"/>
        <v>0</v>
      </c>
      <c r="Q376" s="5">
        <f t="shared" si="79"/>
        <v>0</v>
      </c>
      <c r="R376" s="5">
        <f t="shared" si="80"/>
        <v>0</v>
      </c>
      <c r="S376" s="5">
        <f t="shared" si="81"/>
        <v>0</v>
      </c>
      <c r="T376" s="5">
        <f t="shared" si="82"/>
        <v>0</v>
      </c>
      <c r="U376" s="5">
        <f t="shared" si="83"/>
        <v>0</v>
      </c>
      <c r="V376" s="5">
        <f t="shared" si="71"/>
        <v>0</v>
      </c>
    </row>
    <row r="377" spans="1:22" ht="13.5" customHeight="1" x14ac:dyDescent="0.25">
      <c r="A377" s="594"/>
      <c r="B377" s="377"/>
      <c r="C377" s="377"/>
      <c r="D377" s="443">
        <f t="shared" si="70"/>
        <v>100</v>
      </c>
      <c r="E377" s="580"/>
      <c r="F377" s="580"/>
      <c r="J377" s="26">
        <f t="shared" si="72"/>
        <v>0</v>
      </c>
      <c r="K377" s="5">
        <f t="shared" si="73"/>
        <v>0</v>
      </c>
      <c r="L377" s="5">
        <f t="shared" si="74"/>
        <v>0</v>
      </c>
      <c r="M377" s="5">
        <f t="shared" si="75"/>
        <v>0</v>
      </c>
      <c r="N377" s="5">
        <f t="shared" si="76"/>
        <v>0</v>
      </c>
      <c r="O377" s="5">
        <f t="shared" si="77"/>
        <v>0</v>
      </c>
      <c r="P377" s="5">
        <f t="shared" si="78"/>
        <v>0</v>
      </c>
      <c r="Q377" s="5">
        <f t="shared" si="79"/>
        <v>0</v>
      </c>
      <c r="R377" s="5">
        <f t="shared" si="80"/>
        <v>0</v>
      </c>
      <c r="S377" s="5">
        <f t="shared" si="81"/>
        <v>0</v>
      </c>
      <c r="T377" s="5">
        <f t="shared" si="82"/>
        <v>0</v>
      </c>
      <c r="U377" s="5">
        <f t="shared" si="83"/>
        <v>0</v>
      </c>
      <c r="V377" s="5">
        <f t="shared" si="71"/>
        <v>0</v>
      </c>
    </row>
    <row r="378" spans="1:22" ht="13.5" customHeight="1" x14ac:dyDescent="0.25">
      <c r="A378" s="594"/>
      <c r="B378" s="377"/>
      <c r="C378" s="377"/>
      <c r="D378" s="443">
        <f t="shared" si="70"/>
        <v>100</v>
      </c>
      <c r="E378" s="580"/>
      <c r="F378" s="580"/>
      <c r="J378" s="26">
        <f t="shared" si="72"/>
        <v>0</v>
      </c>
      <c r="K378" s="5">
        <f t="shared" si="73"/>
        <v>0</v>
      </c>
      <c r="L378" s="5">
        <f t="shared" si="74"/>
        <v>0</v>
      </c>
      <c r="M378" s="5">
        <f t="shared" si="75"/>
        <v>0</v>
      </c>
      <c r="N378" s="5">
        <f t="shared" si="76"/>
        <v>0</v>
      </c>
      <c r="O378" s="5">
        <f t="shared" si="77"/>
        <v>0</v>
      </c>
      <c r="P378" s="5">
        <f t="shared" si="78"/>
        <v>0</v>
      </c>
      <c r="Q378" s="5">
        <f t="shared" si="79"/>
        <v>0</v>
      </c>
      <c r="R378" s="5">
        <f t="shared" si="80"/>
        <v>0</v>
      </c>
      <c r="S378" s="5">
        <f t="shared" si="81"/>
        <v>0</v>
      </c>
      <c r="T378" s="5">
        <f t="shared" si="82"/>
        <v>0</v>
      </c>
      <c r="U378" s="5">
        <f t="shared" si="83"/>
        <v>0</v>
      </c>
      <c r="V378" s="5">
        <f t="shared" si="71"/>
        <v>0</v>
      </c>
    </row>
    <row r="379" spans="1:22" ht="13.5" customHeight="1" x14ac:dyDescent="0.25">
      <c r="A379" s="594"/>
      <c r="B379" s="377"/>
      <c r="C379" s="377"/>
      <c r="D379" s="443">
        <f t="shared" si="70"/>
        <v>100</v>
      </c>
      <c r="E379" s="580"/>
      <c r="F379" s="580"/>
      <c r="J379" s="26">
        <f t="shared" si="72"/>
        <v>0</v>
      </c>
      <c r="K379" s="5">
        <f t="shared" si="73"/>
        <v>0</v>
      </c>
      <c r="L379" s="5">
        <f t="shared" si="74"/>
        <v>0</v>
      </c>
      <c r="M379" s="5">
        <f t="shared" si="75"/>
        <v>0</v>
      </c>
      <c r="N379" s="5">
        <f t="shared" si="76"/>
        <v>0</v>
      </c>
      <c r="O379" s="5">
        <f t="shared" si="77"/>
        <v>0</v>
      </c>
      <c r="P379" s="5">
        <f t="shared" si="78"/>
        <v>0</v>
      </c>
      <c r="Q379" s="5">
        <f t="shared" si="79"/>
        <v>0</v>
      </c>
      <c r="R379" s="5">
        <f t="shared" si="80"/>
        <v>0</v>
      </c>
      <c r="S379" s="5">
        <f t="shared" si="81"/>
        <v>0</v>
      </c>
      <c r="T379" s="5">
        <f t="shared" si="82"/>
        <v>0</v>
      </c>
      <c r="U379" s="5">
        <f t="shared" si="83"/>
        <v>0</v>
      </c>
      <c r="V379" s="5">
        <f t="shared" si="71"/>
        <v>0</v>
      </c>
    </row>
    <row r="380" spans="1:22" ht="13.5" customHeight="1" x14ac:dyDescent="0.25">
      <c r="A380" s="594"/>
      <c r="B380" s="377"/>
      <c r="C380" s="377"/>
      <c r="D380" s="443">
        <f t="shared" si="70"/>
        <v>100</v>
      </c>
      <c r="E380" s="580"/>
      <c r="F380" s="580"/>
      <c r="J380" s="26">
        <f t="shared" si="72"/>
        <v>0</v>
      </c>
      <c r="K380" s="5">
        <f t="shared" si="73"/>
        <v>0</v>
      </c>
      <c r="L380" s="5">
        <f t="shared" si="74"/>
        <v>0</v>
      </c>
      <c r="M380" s="5">
        <f t="shared" si="75"/>
        <v>0</v>
      </c>
      <c r="N380" s="5">
        <f t="shared" si="76"/>
        <v>0</v>
      </c>
      <c r="O380" s="5">
        <f t="shared" si="77"/>
        <v>0</v>
      </c>
      <c r="P380" s="5">
        <f t="shared" si="78"/>
        <v>0</v>
      </c>
      <c r="Q380" s="5">
        <f t="shared" si="79"/>
        <v>0</v>
      </c>
      <c r="R380" s="5">
        <f t="shared" si="80"/>
        <v>0</v>
      </c>
      <c r="S380" s="5">
        <f t="shared" si="81"/>
        <v>0</v>
      </c>
      <c r="T380" s="5">
        <f t="shared" si="82"/>
        <v>0</v>
      </c>
      <c r="U380" s="5">
        <f t="shared" si="83"/>
        <v>0</v>
      </c>
      <c r="V380" s="5">
        <f t="shared" si="71"/>
        <v>0</v>
      </c>
    </row>
    <row r="381" spans="1:22" ht="13.5" customHeight="1" x14ac:dyDescent="0.25">
      <c r="A381" s="594"/>
      <c r="B381" s="377"/>
      <c r="C381" s="377"/>
      <c r="D381" s="443">
        <f t="shared" si="70"/>
        <v>100</v>
      </c>
      <c r="E381" s="580"/>
      <c r="F381" s="580"/>
      <c r="J381" s="26">
        <f t="shared" si="72"/>
        <v>0</v>
      </c>
      <c r="K381" s="5">
        <f t="shared" si="73"/>
        <v>0</v>
      </c>
      <c r="L381" s="5">
        <f t="shared" si="74"/>
        <v>0</v>
      </c>
      <c r="M381" s="5">
        <f t="shared" si="75"/>
        <v>0</v>
      </c>
      <c r="N381" s="5">
        <f t="shared" si="76"/>
        <v>0</v>
      </c>
      <c r="O381" s="5">
        <f t="shared" si="77"/>
        <v>0</v>
      </c>
      <c r="P381" s="5">
        <f t="shared" si="78"/>
        <v>0</v>
      </c>
      <c r="Q381" s="5">
        <f t="shared" si="79"/>
        <v>0</v>
      </c>
      <c r="R381" s="5">
        <f t="shared" si="80"/>
        <v>0</v>
      </c>
      <c r="S381" s="5">
        <f t="shared" si="81"/>
        <v>0</v>
      </c>
      <c r="T381" s="5">
        <f t="shared" si="82"/>
        <v>0</v>
      </c>
      <c r="U381" s="5">
        <f t="shared" si="83"/>
        <v>0</v>
      </c>
      <c r="V381" s="5">
        <f t="shared" si="71"/>
        <v>0</v>
      </c>
    </row>
    <row r="382" spans="1:22" ht="13.5" customHeight="1" x14ac:dyDescent="0.25">
      <c r="A382" s="594"/>
      <c r="B382" s="377"/>
      <c r="C382" s="377"/>
      <c r="D382" s="443">
        <f t="shared" si="70"/>
        <v>100</v>
      </c>
      <c r="E382" s="580"/>
      <c r="F382" s="580"/>
      <c r="J382" s="26">
        <f t="shared" si="72"/>
        <v>0</v>
      </c>
      <c r="K382" s="5">
        <f t="shared" si="73"/>
        <v>0</v>
      </c>
      <c r="L382" s="5">
        <f t="shared" si="74"/>
        <v>0</v>
      </c>
      <c r="M382" s="5">
        <f t="shared" si="75"/>
        <v>0</v>
      </c>
      <c r="N382" s="5">
        <f t="shared" si="76"/>
        <v>0</v>
      </c>
      <c r="O382" s="5">
        <f t="shared" si="77"/>
        <v>0</v>
      </c>
      <c r="P382" s="5">
        <f t="shared" si="78"/>
        <v>0</v>
      </c>
      <c r="Q382" s="5">
        <f t="shared" si="79"/>
        <v>0</v>
      </c>
      <c r="R382" s="5">
        <f t="shared" si="80"/>
        <v>0</v>
      </c>
      <c r="S382" s="5">
        <f t="shared" si="81"/>
        <v>0</v>
      </c>
      <c r="T382" s="5">
        <f t="shared" si="82"/>
        <v>0</v>
      </c>
      <c r="U382" s="5">
        <f t="shared" si="83"/>
        <v>0</v>
      </c>
      <c r="V382" s="5">
        <f t="shared" si="71"/>
        <v>0</v>
      </c>
    </row>
    <row r="383" spans="1:22" ht="13.5" customHeight="1" x14ac:dyDescent="0.25">
      <c r="A383" s="594"/>
      <c r="B383" s="377"/>
      <c r="C383" s="377"/>
      <c r="D383" s="443">
        <f t="shared" si="70"/>
        <v>100</v>
      </c>
      <c r="E383" s="580"/>
      <c r="F383" s="580"/>
      <c r="J383" s="26">
        <f t="shared" si="72"/>
        <v>0</v>
      </c>
      <c r="K383" s="5">
        <f t="shared" si="73"/>
        <v>0</v>
      </c>
      <c r="L383" s="5">
        <f t="shared" si="74"/>
        <v>0</v>
      </c>
      <c r="M383" s="5">
        <f t="shared" si="75"/>
        <v>0</v>
      </c>
      <c r="N383" s="5">
        <f t="shared" si="76"/>
        <v>0</v>
      </c>
      <c r="O383" s="5">
        <f t="shared" si="77"/>
        <v>0</v>
      </c>
      <c r="P383" s="5">
        <f t="shared" si="78"/>
        <v>0</v>
      </c>
      <c r="Q383" s="5">
        <f t="shared" si="79"/>
        <v>0</v>
      </c>
      <c r="R383" s="5">
        <f t="shared" si="80"/>
        <v>0</v>
      </c>
      <c r="S383" s="5">
        <f t="shared" si="81"/>
        <v>0</v>
      </c>
      <c r="T383" s="5">
        <f t="shared" si="82"/>
        <v>0</v>
      </c>
      <c r="U383" s="5">
        <f t="shared" si="83"/>
        <v>0</v>
      </c>
      <c r="V383" s="5">
        <f t="shared" si="71"/>
        <v>0</v>
      </c>
    </row>
    <row r="384" spans="1:22" ht="13.5" customHeight="1" x14ac:dyDescent="0.25">
      <c r="A384" s="594"/>
      <c r="B384" s="377"/>
      <c r="C384" s="377"/>
      <c r="D384" s="443">
        <f t="shared" si="70"/>
        <v>100</v>
      </c>
      <c r="E384" s="580"/>
      <c r="F384" s="580"/>
      <c r="J384" s="26">
        <f t="shared" si="72"/>
        <v>0</v>
      </c>
      <c r="K384" s="5">
        <f t="shared" si="73"/>
        <v>0</v>
      </c>
      <c r="L384" s="5">
        <f t="shared" si="74"/>
        <v>0</v>
      </c>
      <c r="M384" s="5">
        <f t="shared" si="75"/>
        <v>0</v>
      </c>
      <c r="N384" s="5">
        <f t="shared" si="76"/>
        <v>0</v>
      </c>
      <c r="O384" s="5">
        <f t="shared" si="77"/>
        <v>0</v>
      </c>
      <c r="P384" s="5">
        <f t="shared" si="78"/>
        <v>0</v>
      </c>
      <c r="Q384" s="5">
        <f t="shared" si="79"/>
        <v>0</v>
      </c>
      <c r="R384" s="5">
        <f t="shared" si="80"/>
        <v>0</v>
      </c>
      <c r="S384" s="5">
        <f t="shared" si="81"/>
        <v>0</v>
      </c>
      <c r="T384" s="5">
        <f t="shared" si="82"/>
        <v>0</v>
      </c>
      <c r="U384" s="5">
        <f t="shared" si="83"/>
        <v>0</v>
      </c>
      <c r="V384" s="5">
        <f t="shared" si="71"/>
        <v>0</v>
      </c>
    </row>
    <row r="385" spans="1:22" ht="13.5" customHeight="1" x14ac:dyDescent="0.25">
      <c r="A385" s="594"/>
      <c r="B385" s="377"/>
      <c r="C385" s="377"/>
      <c r="D385" s="443">
        <f t="shared" si="70"/>
        <v>100</v>
      </c>
      <c r="E385" s="580"/>
      <c r="F385" s="580"/>
      <c r="J385" s="26">
        <f t="shared" si="72"/>
        <v>0</v>
      </c>
      <c r="K385" s="5">
        <f t="shared" si="73"/>
        <v>0</v>
      </c>
      <c r="L385" s="5">
        <f t="shared" si="74"/>
        <v>0</v>
      </c>
      <c r="M385" s="5">
        <f t="shared" si="75"/>
        <v>0</v>
      </c>
      <c r="N385" s="5">
        <f t="shared" si="76"/>
        <v>0</v>
      </c>
      <c r="O385" s="5">
        <f t="shared" si="77"/>
        <v>0</v>
      </c>
      <c r="P385" s="5">
        <f t="shared" si="78"/>
        <v>0</v>
      </c>
      <c r="Q385" s="5">
        <f t="shared" si="79"/>
        <v>0</v>
      </c>
      <c r="R385" s="5">
        <f t="shared" si="80"/>
        <v>0</v>
      </c>
      <c r="S385" s="5">
        <f t="shared" si="81"/>
        <v>0</v>
      </c>
      <c r="T385" s="5">
        <f t="shared" si="82"/>
        <v>0</v>
      </c>
      <c r="U385" s="5">
        <f t="shared" si="83"/>
        <v>0</v>
      </c>
      <c r="V385" s="5">
        <f t="shared" si="71"/>
        <v>0</v>
      </c>
    </row>
    <row r="386" spans="1:22" ht="13.5" customHeight="1" x14ac:dyDescent="0.25">
      <c r="A386" s="594"/>
      <c r="B386" s="377"/>
      <c r="C386" s="377"/>
      <c r="D386" s="443">
        <f t="shared" si="70"/>
        <v>100</v>
      </c>
      <c r="E386" s="580"/>
      <c r="F386" s="580"/>
      <c r="J386" s="26">
        <f t="shared" si="72"/>
        <v>0</v>
      </c>
      <c r="K386" s="5">
        <f t="shared" si="73"/>
        <v>0</v>
      </c>
      <c r="L386" s="5">
        <f t="shared" si="74"/>
        <v>0</v>
      </c>
      <c r="M386" s="5">
        <f t="shared" si="75"/>
        <v>0</v>
      </c>
      <c r="N386" s="5">
        <f t="shared" si="76"/>
        <v>0</v>
      </c>
      <c r="O386" s="5">
        <f t="shared" si="77"/>
        <v>0</v>
      </c>
      <c r="P386" s="5">
        <f t="shared" si="78"/>
        <v>0</v>
      </c>
      <c r="Q386" s="5">
        <f t="shared" si="79"/>
        <v>0</v>
      </c>
      <c r="R386" s="5">
        <f t="shared" si="80"/>
        <v>0</v>
      </c>
      <c r="S386" s="5">
        <f t="shared" si="81"/>
        <v>0</v>
      </c>
      <c r="T386" s="5">
        <f t="shared" si="82"/>
        <v>0</v>
      </c>
      <c r="U386" s="5">
        <f t="shared" si="83"/>
        <v>0</v>
      </c>
      <c r="V386" s="5">
        <f t="shared" si="71"/>
        <v>0</v>
      </c>
    </row>
    <row r="387" spans="1:22" ht="13.5" customHeight="1" x14ac:dyDescent="0.25">
      <c r="A387" s="594"/>
      <c r="B387" s="377"/>
      <c r="C387" s="377"/>
      <c r="D387" s="443">
        <f t="shared" si="70"/>
        <v>100</v>
      </c>
      <c r="E387" s="580"/>
      <c r="F387" s="580"/>
      <c r="J387" s="26">
        <f t="shared" si="72"/>
        <v>0</v>
      </c>
      <c r="K387" s="5">
        <f t="shared" si="73"/>
        <v>0</v>
      </c>
      <c r="L387" s="5">
        <f t="shared" si="74"/>
        <v>0</v>
      </c>
      <c r="M387" s="5">
        <f t="shared" si="75"/>
        <v>0</v>
      </c>
      <c r="N387" s="5">
        <f t="shared" si="76"/>
        <v>0</v>
      </c>
      <c r="O387" s="5">
        <f t="shared" si="77"/>
        <v>0</v>
      </c>
      <c r="P387" s="5">
        <f t="shared" si="78"/>
        <v>0</v>
      </c>
      <c r="Q387" s="5">
        <f t="shared" si="79"/>
        <v>0</v>
      </c>
      <c r="R387" s="5">
        <f t="shared" si="80"/>
        <v>0</v>
      </c>
      <c r="S387" s="5">
        <f t="shared" si="81"/>
        <v>0</v>
      </c>
      <c r="T387" s="5">
        <f t="shared" si="82"/>
        <v>0</v>
      </c>
      <c r="U387" s="5">
        <f t="shared" si="83"/>
        <v>0</v>
      </c>
      <c r="V387" s="5">
        <f t="shared" si="71"/>
        <v>0</v>
      </c>
    </row>
    <row r="388" spans="1:22" ht="13.5" customHeight="1" x14ac:dyDescent="0.25">
      <c r="A388" s="594"/>
      <c r="B388" s="377"/>
      <c r="C388" s="377"/>
      <c r="D388" s="443">
        <f t="shared" si="70"/>
        <v>100</v>
      </c>
      <c r="E388" s="580"/>
      <c r="F388" s="580"/>
      <c r="J388" s="26">
        <f t="shared" si="72"/>
        <v>0</v>
      </c>
      <c r="K388" s="5">
        <f t="shared" si="73"/>
        <v>0</v>
      </c>
      <c r="L388" s="5">
        <f t="shared" si="74"/>
        <v>0</v>
      </c>
      <c r="M388" s="5">
        <f t="shared" si="75"/>
        <v>0</v>
      </c>
      <c r="N388" s="5">
        <f t="shared" si="76"/>
        <v>0</v>
      </c>
      <c r="O388" s="5">
        <f t="shared" si="77"/>
        <v>0</v>
      </c>
      <c r="P388" s="5">
        <f t="shared" si="78"/>
        <v>0</v>
      </c>
      <c r="Q388" s="5">
        <f t="shared" si="79"/>
        <v>0</v>
      </c>
      <c r="R388" s="5">
        <f t="shared" si="80"/>
        <v>0</v>
      </c>
      <c r="S388" s="5">
        <f t="shared" si="81"/>
        <v>0</v>
      </c>
      <c r="T388" s="5">
        <f t="shared" si="82"/>
        <v>0</v>
      </c>
      <c r="U388" s="5">
        <f t="shared" si="83"/>
        <v>0</v>
      </c>
      <c r="V388" s="5">
        <f t="shared" si="71"/>
        <v>0</v>
      </c>
    </row>
    <row r="389" spans="1:22" ht="13.5" customHeight="1" x14ac:dyDescent="0.25">
      <c r="A389" s="594"/>
      <c r="B389" s="377"/>
      <c r="C389" s="377"/>
      <c r="D389" s="443">
        <f t="shared" si="70"/>
        <v>100</v>
      </c>
      <c r="E389" s="580"/>
      <c r="F389" s="580"/>
      <c r="J389" s="26">
        <f t="shared" si="72"/>
        <v>0</v>
      </c>
      <c r="K389" s="5">
        <f t="shared" si="73"/>
        <v>0</v>
      </c>
      <c r="L389" s="5">
        <f t="shared" si="74"/>
        <v>0</v>
      </c>
      <c r="M389" s="5">
        <f t="shared" si="75"/>
        <v>0</v>
      </c>
      <c r="N389" s="5">
        <f t="shared" si="76"/>
        <v>0</v>
      </c>
      <c r="O389" s="5">
        <f t="shared" si="77"/>
        <v>0</v>
      </c>
      <c r="P389" s="5">
        <f t="shared" si="78"/>
        <v>0</v>
      </c>
      <c r="Q389" s="5">
        <f t="shared" si="79"/>
        <v>0</v>
      </c>
      <c r="R389" s="5">
        <f t="shared" si="80"/>
        <v>0</v>
      </c>
      <c r="S389" s="5">
        <f t="shared" si="81"/>
        <v>0</v>
      </c>
      <c r="T389" s="5">
        <f t="shared" si="82"/>
        <v>0</v>
      </c>
      <c r="U389" s="5">
        <f t="shared" si="83"/>
        <v>0</v>
      </c>
      <c r="V389" s="5">
        <f t="shared" si="71"/>
        <v>0</v>
      </c>
    </row>
    <row r="390" spans="1:22" ht="13.5" customHeight="1" x14ac:dyDescent="0.25">
      <c r="A390" s="594"/>
      <c r="B390" s="377"/>
      <c r="C390" s="377"/>
      <c r="D390" s="443">
        <f t="shared" si="70"/>
        <v>100</v>
      </c>
      <c r="E390" s="580"/>
      <c r="F390" s="580"/>
      <c r="J390" s="26">
        <f t="shared" si="72"/>
        <v>0</v>
      </c>
      <c r="K390" s="5">
        <f t="shared" si="73"/>
        <v>0</v>
      </c>
      <c r="L390" s="5">
        <f t="shared" si="74"/>
        <v>0</v>
      </c>
      <c r="M390" s="5">
        <f t="shared" si="75"/>
        <v>0</v>
      </c>
      <c r="N390" s="5">
        <f t="shared" si="76"/>
        <v>0</v>
      </c>
      <c r="O390" s="5">
        <f t="shared" si="77"/>
        <v>0</v>
      </c>
      <c r="P390" s="5">
        <f t="shared" si="78"/>
        <v>0</v>
      </c>
      <c r="Q390" s="5">
        <f t="shared" si="79"/>
        <v>0</v>
      </c>
      <c r="R390" s="5">
        <f t="shared" si="80"/>
        <v>0</v>
      </c>
      <c r="S390" s="5">
        <f t="shared" si="81"/>
        <v>0</v>
      </c>
      <c r="T390" s="5">
        <f t="shared" si="82"/>
        <v>0</v>
      </c>
      <c r="U390" s="5">
        <f t="shared" si="83"/>
        <v>0</v>
      </c>
      <c r="V390" s="5">
        <f t="shared" si="71"/>
        <v>0</v>
      </c>
    </row>
    <row r="391" spans="1:22" ht="13.5" customHeight="1" x14ac:dyDescent="0.25">
      <c r="A391" s="594"/>
      <c r="B391" s="377"/>
      <c r="C391" s="377"/>
      <c r="D391" s="443">
        <f t="shared" si="70"/>
        <v>100</v>
      </c>
      <c r="E391" s="580"/>
      <c r="F391" s="580"/>
      <c r="J391" s="26">
        <f t="shared" si="72"/>
        <v>0</v>
      </c>
      <c r="K391" s="5">
        <f t="shared" si="73"/>
        <v>0</v>
      </c>
      <c r="L391" s="5">
        <f t="shared" si="74"/>
        <v>0</v>
      </c>
      <c r="M391" s="5">
        <f t="shared" si="75"/>
        <v>0</v>
      </c>
      <c r="N391" s="5">
        <f t="shared" si="76"/>
        <v>0</v>
      </c>
      <c r="O391" s="5">
        <f t="shared" si="77"/>
        <v>0</v>
      </c>
      <c r="P391" s="5">
        <f t="shared" si="78"/>
        <v>0</v>
      </c>
      <c r="Q391" s="5">
        <f t="shared" si="79"/>
        <v>0</v>
      </c>
      <c r="R391" s="5">
        <f t="shared" si="80"/>
        <v>0</v>
      </c>
      <c r="S391" s="5">
        <f t="shared" si="81"/>
        <v>0</v>
      </c>
      <c r="T391" s="5">
        <f t="shared" si="82"/>
        <v>0</v>
      </c>
      <c r="U391" s="5">
        <f t="shared" si="83"/>
        <v>0</v>
      </c>
      <c r="V391" s="5">
        <f t="shared" si="71"/>
        <v>0</v>
      </c>
    </row>
    <row r="392" spans="1:22" ht="13.5" customHeight="1" x14ac:dyDescent="0.25">
      <c r="A392" s="594"/>
      <c r="B392" s="377"/>
      <c r="C392" s="377"/>
      <c r="D392" s="443">
        <f t="shared" si="70"/>
        <v>100</v>
      </c>
      <c r="E392" s="580"/>
      <c r="F392" s="580"/>
      <c r="J392" s="26">
        <f t="shared" si="72"/>
        <v>0</v>
      </c>
      <c r="K392" s="5">
        <f t="shared" si="73"/>
        <v>0</v>
      </c>
      <c r="L392" s="5">
        <f t="shared" si="74"/>
        <v>0</v>
      </c>
      <c r="M392" s="5">
        <f t="shared" si="75"/>
        <v>0</v>
      </c>
      <c r="N392" s="5">
        <f t="shared" si="76"/>
        <v>0</v>
      </c>
      <c r="O392" s="5">
        <f t="shared" si="77"/>
        <v>0</v>
      </c>
      <c r="P392" s="5">
        <f t="shared" si="78"/>
        <v>0</v>
      </c>
      <c r="Q392" s="5">
        <f t="shared" si="79"/>
        <v>0</v>
      </c>
      <c r="R392" s="5">
        <f t="shared" si="80"/>
        <v>0</v>
      </c>
      <c r="S392" s="5">
        <f t="shared" si="81"/>
        <v>0</v>
      </c>
      <c r="T392" s="5">
        <f t="shared" si="82"/>
        <v>0</v>
      </c>
      <c r="U392" s="5">
        <f t="shared" si="83"/>
        <v>0</v>
      </c>
      <c r="V392" s="5">
        <f t="shared" si="71"/>
        <v>0</v>
      </c>
    </row>
    <row r="393" spans="1:22" ht="13.5" customHeight="1" x14ac:dyDescent="0.25">
      <c r="A393" s="594"/>
      <c r="B393" s="377"/>
      <c r="C393" s="377"/>
      <c r="D393" s="443">
        <f t="shared" si="70"/>
        <v>100</v>
      </c>
      <c r="E393" s="580"/>
      <c r="F393" s="580"/>
      <c r="J393" s="26">
        <f t="shared" si="72"/>
        <v>0</v>
      </c>
      <c r="K393" s="5">
        <f t="shared" si="73"/>
        <v>0</v>
      </c>
      <c r="L393" s="5">
        <f t="shared" si="74"/>
        <v>0</v>
      </c>
      <c r="M393" s="5">
        <f t="shared" si="75"/>
        <v>0</v>
      </c>
      <c r="N393" s="5">
        <f t="shared" si="76"/>
        <v>0</v>
      </c>
      <c r="O393" s="5">
        <f t="shared" si="77"/>
        <v>0</v>
      </c>
      <c r="P393" s="5">
        <f t="shared" si="78"/>
        <v>0</v>
      </c>
      <c r="Q393" s="5">
        <f t="shared" si="79"/>
        <v>0</v>
      </c>
      <c r="R393" s="5">
        <f t="shared" si="80"/>
        <v>0</v>
      </c>
      <c r="S393" s="5">
        <f t="shared" si="81"/>
        <v>0</v>
      </c>
      <c r="T393" s="5">
        <f t="shared" si="82"/>
        <v>0</v>
      </c>
      <c r="U393" s="5">
        <f t="shared" si="83"/>
        <v>0</v>
      </c>
      <c r="V393" s="5">
        <f t="shared" si="71"/>
        <v>0</v>
      </c>
    </row>
    <row r="394" spans="1:22" ht="13.5" customHeight="1" x14ac:dyDescent="0.25">
      <c r="A394" s="594"/>
      <c r="B394" s="377"/>
      <c r="C394" s="377"/>
      <c r="D394" s="443">
        <f t="shared" si="70"/>
        <v>100</v>
      </c>
      <c r="E394" s="580"/>
      <c r="F394" s="580"/>
      <c r="J394" s="26">
        <f t="shared" si="72"/>
        <v>0</v>
      </c>
      <c r="K394" s="5">
        <f t="shared" si="73"/>
        <v>0</v>
      </c>
      <c r="L394" s="5">
        <f t="shared" si="74"/>
        <v>0</v>
      </c>
      <c r="M394" s="5">
        <f t="shared" si="75"/>
        <v>0</v>
      </c>
      <c r="N394" s="5">
        <f t="shared" si="76"/>
        <v>0</v>
      </c>
      <c r="O394" s="5">
        <f t="shared" si="77"/>
        <v>0</v>
      </c>
      <c r="P394" s="5">
        <f t="shared" si="78"/>
        <v>0</v>
      </c>
      <c r="Q394" s="5">
        <f t="shared" si="79"/>
        <v>0</v>
      </c>
      <c r="R394" s="5">
        <f t="shared" si="80"/>
        <v>0</v>
      </c>
      <c r="S394" s="5">
        <f t="shared" si="81"/>
        <v>0</v>
      </c>
      <c r="T394" s="5">
        <f t="shared" si="82"/>
        <v>0</v>
      </c>
      <c r="U394" s="5">
        <f t="shared" si="83"/>
        <v>0</v>
      </c>
      <c r="V394" s="5">
        <f t="shared" si="71"/>
        <v>0</v>
      </c>
    </row>
    <row r="395" spans="1:22" ht="13.5" customHeight="1" x14ac:dyDescent="0.25">
      <c r="A395" s="594"/>
      <c r="B395" s="377"/>
      <c r="C395" s="377"/>
      <c r="D395" s="443">
        <f t="shared" si="70"/>
        <v>100</v>
      </c>
      <c r="E395" s="580"/>
      <c r="F395" s="580"/>
      <c r="J395" s="26">
        <f t="shared" si="72"/>
        <v>0</v>
      </c>
      <c r="K395" s="5">
        <f t="shared" si="73"/>
        <v>0</v>
      </c>
      <c r="L395" s="5">
        <f t="shared" si="74"/>
        <v>0</v>
      </c>
      <c r="M395" s="5">
        <f t="shared" si="75"/>
        <v>0</v>
      </c>
      <c r="N395" s="5">
        <f t="shared" si="76"/>
        <v>0</v>
      </c>
      <c r="O395" s="5">
        <f t="shared" si="77"/>
        <v>0</v>
      </c>
      <c r="P395" s="5">
        <f t="shared" si="78"/>
        <v>0</v>
      </c>
      <c r="Q395" s="5">
        <f t="shared" si="79"/>
        <v>0</v>
      </c>
      <c r="R395" s="5">
        <f t="shared" si="80"/>
        <v>0</v>
      </c>
      <c r="S395" s="5">
        <f t="shared" si="81"/>
        <v>0</v>
      </c>
      <c r="T395" s="5">
        <f t="shared" si="82"/>
        <v>0</v>
      </c>
      <c r="U395" s="5">
        <f t="shared" si="83"/>
        <v>0</v>
      </c>
      <c r="V395" s="5">
        <f t="shared" si="71"/>
        <v>0</v>
      </c>
    </row>
    <row r="396" spans="1:22" ht="13.5" customHeight="1" x14ac:dyDescent="0.25">
      <c r="A396" s="594"/>
      <c r="B396" s="377"/>
      <c r="C396" s="377"/>
      <c r="D396" s="443">
        <f t="shared" si="70"/>
        <v>100</v>
      </c>
      <c r="E396" s="580"/>
      <c r="F396" s="580"/>
      <c r="J396" s="26">
        <f t="shared" si="72"/>
        <v>0</v>
      </c>
      <c r="K396" s="5">
        <f t="shared" si="73"/>
        <v>0</v>
      </c>
      <c r="L396" s="5">
        <f t="shared" si="74"/>
        <v>0</v>
      </c>
      <c r="M396" s="5">
        <f t="shared" si="75"/>
        <v>0</v>
      </c>
      <c r="N396" s="5">
        <f t="shared" si="76"/>
        <v>0</v>
      </c>
      <c r="O396" s="5">
        <f t="shared" si="77"/>
        <v>0</v>
      </c>
      <c r="P396" s="5">
        <f t="shared" si="78"/>
        <v>0</v>
      </c>
      <c r="Q396" s="5">
        <f t="shared" si="79"/>
        <v>0</v>
      </c>
      <c r="R396" s="5">
        <f t="shared" si="80"/>
        <v>0</v>
      </c>
      <c r="S396" s="5">
        <f t="shared" si="81"/>
        <v>0</v>
      </c>
      <c r="T396" s="5">
        <f t="shared" si="82"/>
        <v>0</v>
      </c>
      <c r="U396" s="5">
        <f t="shared" si="83"/>
        <v>0</v>
      </c>
      <c r="V396" s="5">
        <f t="shared" si="71"/>
        <v>0</v>
      </c>
    </row>
    <row r="397" spans="1:22" ht="13.5" customHeight="1" x14ac:dyDescent="0.25">
      <c r="A397" s="594"/>
      <c r="B397" s="377"/>
      <c r="C397" s="377"/>
      <c r="D397" s="443">
        <f t="shared" si="70"/>
        <v>100</v>
      </c>
      <c r="E397" s="580"/>
      <c r="F397" s="580"/>
      <c r="J397" s="26">
        <f t="shared" si="72"/>
        <v>0</v>
      </c>
      <c r="K397" s="5">
        <f t="shared" si="73"/>
        <v>0</v>
      </c>
      <c r="L397" s="5">
        <f t="shared" si="74"/>
        <v>0</v>
      </c>
      <c r="M397" s="5">
        <f t="shared" si="75"/>
        <v>0</v>
      </c>
      <c r="N397" s="5">
        <f t="shared" si="76"/>
        <v>0</v>
      </c>
      <c r="O397" s="5">
        <f t="shared" si="77"/>
        <v>0</v>
      </c>
      <c r="P397" s="5">
        <f t="shared" si="78"/>
        <v>0</v>
      </c>
      <c r="Q397" s="5">
        <f t="shared" si="79"/>
        <v>0</v>
      </c>
      <c r="R397" s="5">
        <f t="shared" si="80"/>
        <v>0</v>
      </c>
      <c r="S397" s="5">
        <f t="shared" si="81"/>
        <v>0</v>
      </c>
      <c r="T397" s="5">
        <f t="shared" si="82"/>
        <v>0</v>
      </c>
      <c r="U397" s="5">
        <f t="shared" si="83"/>
        <v>0</v>
      </c>
      <c r="V397" s="5">
        <f t="shared" si="71"/>
        <v>0</v>
      </c>
    </row>
    <row r="398" spans="1:22" ht="13.5" customHeight="1" x14ac:dyDescent="0.25">
      <c r="A398" s="594"/>
      <c r="B398" s="377"/>
      <c r="C398" s="377"/>
      <c r="D398" s="443">
        <f t="shared" si="70"/>
        <v>100</v>
      </c>
      <c r="E398" s="580"/>
      <c r="F398" s="580"/>
      <c r="J398" s="26">
        <f t="shared" si="72"/>
        <v>0</v>
      </c>
      <c r="K398" s="5">
        <f t="shared" si="73"/>
        <v>0</v>
      </c>
      <c r="L398" s="5">
        <f t="shared" si="74"/>
        <v>0</v>
      </c>
      <c r="M398" s="5">
        <f t="shared" si="75"/>
        <v>0</v>
      </c>
      <c r="N398" s="5">
        <f t="shared" si="76"/>
        <v>0</v>
      </c>
      <c r="O398" s="5">
        <f t="shared" si="77"/>
        <v>0</v>
      </c>
      <c r="P398" s="5">
        <f t="shared" si="78"/>
        <v>0</v>
      </c>
      <c r="Q398" s="5">
        <f t="shared" si="79"/>
        <v>0</v>
      </c>
      <c r="R398" s="5">
        <f t="shared" si="80"/>
        <v>0</v>
      </c>
      <c r="S398" s="5">
        <f t="shared" si="81"/>
        <v>0</v>
      </c>
      <c r="T398" s="5">
        <f t="shared" si="82"/>
        <v>0</v>
      </c>
      <c r="U398" s="5">
        <f t="shared" si="83"/>
        <v>0</v>
      </c>
      <c r="V398" s="5">
        <f t="shared" si="71"/>
        <v>0</v>
      </c>
    </row>
    <row r="399" spans="1:22" ht="13.5" customHeight="1" x14ac:dyDescent="0.25">
      <c r="A399" s="594"/>
      <c r="B399" s="377"/>
      <c r="C399" s="377"/>
      <c r="D399" s="443">
        <f t="shared" si="70"/>
        <v>100</v>
      </c>
      <c r="E399" s="580"/>
      <c r="F399" s="580"/>
      <c r="J399" s="26">
        <f t="shared" si="72"/>
        <v>0</v>
      </c>
      <c r="K399" s="5">
        <f t="shared" si="73"/>
        <v>0</v>
      </c>
      <c r="L399" s="5">
        <f t="shared" si="74"/>
        <v>0</v>
      </c>
      <c r="M399" s="5">
        <f t="shared" si="75"/>
        <v>0</v>
      </c>
      <c r="N399" s="5">
        <f t="shared" si="76"/>
        <v>0</v>
      </c>
      <c r="O399" s="5">
        <f t="shared" si="77"/>
        <v>0</v>
      </c>
      <c r="P399" s="5">
        <f t="shared" si="78"/>
        <v>0</v>
      </c>
      <c r="Q399" s="5">
        <f t="shared" si="79"/>
        <v>0</v>
      </c>
      <c r="R399" s="5">
        <f t="shared" si="80"/>
        <v>0</v>
      </c>
      <c r="S399" s="5">
        <f t="shared" si="81"/>
        <v>0</v>
      </c>
      <c r="T399" s="5">
        <f t="shared" si="82"/>
        <v>0</v>
      </c>
      <c r="U399" s="5">
        <f t="shared" si="83"/>
        <v>0</v>
      </c>
      <c r="V399" s="5">
        <f t="shared" si="71"/>
        <v>0</v>
      </c>
    </row>
    <row r="400" spans="1:22" ht="13.5" customHeight="1" x14ac:dyDescent="0.25">
      <c r="A400" s="594"/>
      <c r="B400" s="377"/>
      <c r="C400" s="377"/>
      <c r="D400" s="443">
        <f t="shared" si="70"/>
        <v>100</v>
      </c>
      <c r="E400" s="580"/>
      <c r="F400" s="580"/>
      <c r="J400" s="26">
        <f t="shared" si="72"/>
        <v>0</v>
      </c>
      <c r="K400" s="5">
        <f t="shared" si="73"/>
        <v>0</v>
      </c>
      <c r="L400" s="5">
        <f t="shared" si="74"/>
        <v>0</v>
      </c>
      <c r="M400" s="5">
        <f t="shared" si="75"/>
        <v>0</v>
      </c>
      <c r="N400" s="5">
        <f t="shared" si="76"/>
        <v>0</v>
      </c>
      <c r="O400" s="5">
        <f t="shared" si="77"/>
        <v>0</v>
      </c>
      <c r="P400" s="5">
        <f t="shared" si="78"/>
        <v>0</v>
      </c>
      <c r="Q400" s="5">
        <f t="shared" si="79"/>
        <v>0</v>
      </c>
      <c r="R400" s="5">
        <f t="shared" si="80"/>
        <v>0</v>
      </c>
      <c r="S400" s="5">
        <f t="shared" si="81"/>
        <v>0</v>
      </c>
      <c r="T400" s="5">
        <f t="shared" si="82"/>
        <v>0</v>
      </c>
      <c r="U400" s="5">
        <f t="shared" si="83"/>
        <v>0</v>
      </c>
      <c r="V400" s="5">
        <f t="shared" si="71"/>
        <v>0</v>
      </c>
    </row>
    <row r="401" spans="1:22" ht="13.5" customHeight="1" x14ac:dyDescent="0.25">
      <c r="A401" s="594"/>
      <c r="B401" s="377"/>
      <c r="C401" s="377"/>
      <c r="D401" s="443">
        <f t="shared" si="70"/>
        <v>100</v>
      </c>
      <c r="E401" s="580"/>
      <c r="F401" s="580"/>
      <c r="J401" s="26">
        <f t="shared" si="72"/>
        <v>0</v>
      </c>
      <c r="K401" s="5">
        <f t="shared" si="73"/>
        <v>0</v>
      </c>
      <c r="L401" s="5">
        <f t="shared" si="74"/>
        <v>0</v>
      </c>
      <c r="M401" s="5">
        <f t="shared" si="75"/>
        <v>0</v>
      </c>
      <c r="N401" s="5">
        <f t="shared" si="76"/>
        <v>0</v>
      </c>
      <c r="O401" s="5">
        <f t="shared" si="77"/>
        <v>0</v>
      </c>
      <c r="P401" s="5">
        <f t="shared" si="78"/>
        <v>0</v>
      </c>
      <c r="Q401" s="5">
        <f t="shared" si="79"/>
        <v>0</v>
      </c>
      <c r="R401" s="5">
        <f t="shared" si="80"/>
        <v>0</v>
      </c>
      <c r="S401" s="5">
        <f t="shared" si="81"/>
        <v>0</v>
      </c>
      <c r="T401" s="5">
        <f t="shared" si="82"/>
        <v>0</v>
      </c>
      <c r="U401" s="5">
        <f t="shared" si="83"/>
        <v>0</v>
      </c>
      <c r="V401" s="5">
        <f t="shared" si="71"/>
        <v>0</v>
      </c>
    </row>
    <row r="402" spans="1:22" ht="13.5" customHeight="1" x14ac:dyDescent="0.25">
      <c r="A402" s="594"/>
      <c r="B402" s="377"/>
      <c r="C402" s="377"/>
      <c r="D402" s="443">
        <f t="shared" si="70"/>
        <v>100</v>
      </c>
      <c r="E402" s="580"/>
      <c r="F402" s="580"/>
      <c r="J402" s="26">
        <f t="shared" si="72"/>
        <v>0</v>
      </c>
      <c r="K402" s="5">
        <f t="shared" si="73"/>
        <v>0</v>
      </c>
      <c r="L402" s="5">
        <f t="shared" si="74"/>
        <v>0</v>
      </c>
      <c r="M402" s="5">
        <f t="shared" si="75"/>
        <v>0</v>
      </c>
      <c r="N402" s="5">
        <f t="shared" si="76"/>
        <v>0</v>
      </c>
      <c r="O402" s="5">
        <f t="shared" si="77"/>
        <v>0</v>
      </c>
      <c r="P402" s="5">
        <f t="shared" si="78"/>
        <v>0</v>
      </c>
      <c r="Q402" s="5">
        <f t="shared" si="79"/>
        <v>0</v>
      </c>
      <c r="R402" s="5">
        <f t="shared" si="80"/>
        <v>0</v>
      </c>
      <c r="S402" s="5">
        <f t="shared" si="81"/>
        <v>0</v>
      </c>
      <c r="T402" s="5">
        <f t="shared" si="82"/>
        <v>0</v>
      </c>
      <c r="U402" s="5">
        <f t="shared" si="83"/>
        <v>0</v>
      </c>
      <c r="V402" s="5">
        <f t="shared" si="71"/>
        <v>0</v>
      </c>
    </row>
    <row r="403" spans="1:22" ht="13.5" customHeight="1" x14ac:dyDescent="0.25">
      <c r="A403" s="594"/>
      <c r="B403" s="377"/>
      <c r="C403" s="377"/>
      <c r="D403" s="443">
        <f t="shared" si="70"/>
        <v>100</v>
      </c>
      <c r="E403" s="580"/>
      <c r="F403" s="580"/>
      <c r="J403" s="26">
        <f t="shared" si="72"/>
        <v>0</v>
      </c>
      <c r="K403" s="5">
        <f t="shared" si="73"/>
        <v>0</v>
      </c>
      <c r="L403" s="5">
        <f t="shared" si="74"/>
        <v>0</v>
      </c>
      <c r="M403" s="5">
        <f t="shared" si="75"/>
        <v>0</v>
      </c>
      <c r="N403" s="5">
        <f t="shared" si="76"/>
        <v>0</v>
      </c>
      <c r="O403" s="5">
        <f t="shared" si="77"/>
        <v>0</v>
      </c>
      <c r="P403" s="5">
        <f t="shared" si="78"/>
        <v>0</v>
      </c>
      <c r="Q403" s="5">
        <f t="shared" si="79"/>
        <v>0</v>
      </c>
      <c r="R403" s="5">
        <f t="shared" si="80"/>
        <v>0</v>
      </c>
      <c r="S403" s="5">
        <f t="shared" si="81"/>
        <v>0</v>
      </c>
      <c r="T403" s="5">
        <f t="shared" si="82"/>
        <v>0</v>
      </c>
      <c r="U403" s="5">
        <f t="shared" si="83"/>
        <v>0</v>
      </c>
      <c r="V403" s="5">
        <f t="shared" si="71"/>
        <v>0</v>
      </c>
    </row>
    <row r="404" spans="1:22" ht="13.5" customHeight="1" x14ac:dyDescent="0.25">
      <c r="A404" s="594"/>
      <c r="B404" s="377"/>
      <c r="C404" s="377"/>
      <c r="D404" s="443">
        <f t="shared" si="70"/>
        <v>100</v>
      </c>
      <c r="E404" s="580"/>
      <c r="F404" s="580"/>
      <c r="J404" s="26">
        <f t="shared" si="72"/>
        <v>0</v>
      </c>
      <c r="K404" s="5">
        <f t="shared" si="73"/>
        <v>0</v>
      </c>
      <c r="L404" s="5">
        <f t="shared" si="74"/>
        <v>0</v>
      </c>
      <c r="M404" s="5">
        <f t="shared" si="75"/>
        <v>0</v>
      </c>
      <c r="N404" s="5">
        <f t="shared" si="76"/>
        <v>0</v>
      </c>
      <c r="O404" s="5">
        <f t="shared" si="77"/>
        <v>0</v>
      </c>
      <c r="P404" s="5">
        <f t="shared" si="78"/>
        <v>0</v>
      </c>
      <c r="Q404" s="5">
        <f t="shared" si="79"/>
        <v>0</v>
      </c>
      <c r="R404" s="5">
        <f t="shared" si="80"/>
        <v>0</v>
      </c>
      <c r="S404" s="5">
        <f t="shared" si="81"/>
        <v>0</v>
      </c>
      <c r="T404" s="5">
        <f t="shared" si="82"/>
        <v>0</v>
      </c>
      <c r="U404" s="5">
        <f t="shared" si="83"/>
        <v>0</v>
      </c>
      <c r="V404" s="5">
        <f t="shared" si="71"/>
        <v>0</v>
      </c>
    </row>
    <row r="405" spans="1:22" ht="13.5" customHeight="1" x14ac:dyDescent="0.25">
      <c r="A405" s="594"/>
      <c r="B405" s="377"/>
      <c r="C405" s="377"/>
      <c r="D405" s="443">
        <f t="shared" si="70"/>
        <v>100</v>
      </c>
      <c r="E405" s="580"/>
      <c r="F405" s="580"/>
      <c r="J405" s="26">
        <f t="shared" si="72"/>
        <v>0</v>
      </c>
      <c r="K405" s="5">
        <f t="shared" si="73"/>
        <v>0</v>
      </c>
      <c r="L405" s="5">
        <f t="shared" si="74"/>
        <v>0</v>
      </c>
      <c r="M405" s="5">
        <f t="shared" si="75"/>
        <v>0</v>
      </c>
      <c r="N405" s="5">
        <f t="shared" si="76"/>
        <v>0</v>
      </c>
      <c r="O405" s="5">
        <f t="shared" si="77"/>
        <v>0</v>
      </c>
      <c r="P405" s="5">
        <f t="shared" si="78"/>
        <v>0</v>
      </c>
      <c r="Q405" s="5">
        <f t="shared" si="79"/>
        <v>0</v>
      </c>
      <c r="R405" s="5">
        <f t="shared" si="80"/>
        <v>0</v>
      </c>
      <c r="S405" s="5">
        <f t="shared" si="81"/>
        <v>0</v>
      </c>
      <c r="T405" s="5">
        <f t="shared" si="82"/>
        <v>0</v>
      </c>
      <c r="U405" s="5">
        <f t="shared" si="83"/>
        <v>0</v>
      </c>
      <c r="V405" s="5">
        <f t="shared" si="71"/>
        <v>0</v>
      </c>
    </row>
    <row r="406" spans="1:22" ht="13.5" customHeight="1" x14ac:dyDescent="0.25">
      <c r="A406" s="594"/>
      <c r="B406" s="377"/>
      <c r="C406" s="377"/>
      <c r="D406" s="443">
        <f t="shared" si="70"/>
        <v>100</v>
      </c>
      <c r="E406" s="580"/>
      <c r="F406" s="580"/>
      <c r="J406" s="26">
        <f t="shared" si="72"/>
        <v>0</v>
      </c>
      <c r="K406" s="5">
        <f t="shared" si="73"/>
        <v>0</v>
      </c>
      <c r="L406" s="5">
        <f t="shared" si="74"/>
        <v>0</v>
      </c>
      <c r="M406" s="5">
        <f t="shared" si="75"/>
        <v>0</v>
      </c>
      <c r="N406" s="5">
        <f t="shared" si="76"/>
        <v>0</v>
      </c>
      <c r="O406" s="5">
        <f t="shared" si="77"/>
        <v>0</v>
      </c>
      <c r="P406" s="5">
        <f t="shared" si="78"/>
        <v>0</v>
      </c>
      <c r="Q406" s="5">
        <f t="shared" si="79"/>
        <v>0</v>
      </c>
      <c r="R406" s="5">
        <f t="shared" si="80"/>
        <v>0</v>
      </c>
      <c r="S406" s="5">
        <f t="shared" si="81"/>
        <v>0</v>
      </c>
      <c r="T406" s="5">
        <f t="shared" si="82"/>
        <v>0</v>
      </c>
      <c r="U406" s="5">
        <f t="shared" si="83"/>
        <v>0</v>
      </c>
      <c r="V406" s="5">
        <f t="shared" si="71"/>
        <v>0</v>
      </c>
    </row>
    <row r="407" spans="1:22" ht="13.5" customHeight="1" x14ac:dyDescent="0.25">
      <c r="A407" s="594"/>
      <c r="B407" s="377"/>
      <c r="C407" s="377"/>
      <c r="D407" s="443">
        <f t="shared" si="70"/>
        <v>100</v>
      </c>
      <c r="E407" s="580"/>
      <c r="F407" s="580"/>
      <c r="J407" s="26">
        <f t="shared" si="72"/>
        <v>0</v>
      </c>
      <c r="K407" s="5">
        <f t="shared" si="73"/>
        <v>0</v>
      </c>
      <c r="L407" s="5">
        <f t="shared" si="74"/>
        <v>0</v>
      </c>
      <c r="M407" s="5">
        <f t="shared" si="75"/>
        <v>0</v>
      </c>
      <c r="N407" s="5">
        <f t="shared" si="76"/>
        <v>0</v>
      </c>
      <c r="O407" s="5">
        <f t="shared" si="77"/>
        <v>0</v>
      </c>
      <c r="P407" s="5">
        <f t="shared" si="78"/>
        <v>0</v>
      </c>
      <c r="Q407" s="5">
        <f t="shared" si="79"/>
        <v>0</v>
      </c>
      <c r="R407" s="5">
        <f t="shared" si="80"/>
        <v>0</v>
      </c>
      <c r="S407" s="5">
        <f t="shared" si="81"/>
        <v>0</v>
      </c>
      <c r="T407" s="5">
        <f t="shared" si="82"/>
        <v>0</v>
      </c>
      <c r="U407" s="5">
        <f t="shared" si="83"/>
        <v>0</v>
      </c>
      <c r="V407" s="5">
        <f t="shared" si="71"/>
        <v>0</v>
      </c>
    </row>
    <row r="408" spans="1:22" ht="13.5" customHeight="1" x14ac:dyDescent="0.25">
      <c r="A408" s="594"/>
      <c r="B408" s="377"/>
      <c r="C408" s="377"/>
      <c r="D408" s="443">
        <f t="shared" si="70"/>
        <v>100</v>
      </c>
      <c r="E408" s="580"/>
      <c r="F408" s="580"/>
      <c r="J408" s="26">
        <f t="shared" si="72"/>
        <v>0</v>
      </c>
      <c r="K408" s="5">
        <f t="shared" si="73"/>
        <v>0</v>
      </c>
      <c r="L408" s="5">
        <f t="shared" si="74"/>
        <v>0</v>
      </c>
      <c r="M408" s="5">
        <f t="shared" si="75"/>
        <v>0</v>
      </c>
      <c r="N408" s="5">
        <f t="shared" si="76"/>
        <v>0</v>
      </c>
      <c r="O408" s="5">
        <f t="shared" si="77"/>
        <v>0</v>
      </c>
      <c r="P408" s="5">
        <f t="shared" si="78"/>
        <v>0</v>
      </c>
      <c r="Q408" s="5">
        <f t="shared" si="79"/>
        <v>0</v>
      </c>
      <c r="R408" s="5">
        <f t="shared" si="80"/>
        <v>0</v>
      </c>
      <c r="S408" s="5">
        <f t="shared" si="81"/>
        <v>0</v>
      </c>
      <c r="T408" s="5">
        <f t="shared" si="82"/>
        <v>0</v>
      </c>
      <c r="U408" s="5">
        <f t="shared" si="83"/>
        <v>0</v>
      </c>
      <c r="V408" s="5">
        <f t="shared" si="71"/>
        <v>0</v>
      </c>
    </row>
    <row r="409" spans="1:22" ht="13.5" customHeight="1" x14ac:dyDescent="0.25">
      <c r="A409" s="594"/>
      <c r="B409" s="377"/>
      <c r="C409" s="377"/>
      <c r="D409" s="443">
        <f t="shared" si="70"/>
        <v>100</v>
      </c>
      <c r="E409" s="580"/>
      <c r="F409" s="580"/>
      <c r="J409" s="26">
        <f t="shared" si="72"/>
        <v>0</v>
      </c>
      <c r="K409" s="5">
        <f t="shared" si="73"/>
        <v>0</v>
      </c>
      <c r="L409" s="5">
        <f t="shared" si="74"/>
        <v>0</v>
      </c>
      <c r="M409" s="5">
        <f t="shared" si="75"/>
        <v>0</v>
      </c>
      <c r="N409" s="5">
        <f t="shared" si="76"/>
        <v>0</v>
      </c>
      <c r="O409" s="5">
        <f t="shared" si="77"/>
        <v>0</v>
      </c>
      <c r="P409" s="5">
        <f t="shared" si="78"/>
        <v>0</v>
      </c>
      <c r="Q409" s="5">
        <f t="shared" si="79"/>
        <v>0</v>
      </c>
      <c r="R409" s="5">
        <f t="shared" si="80"/>
        <v>0</v>
      </c>
      <c r="S409" s="5">
        <f t="shared" si="81"/>
        <v>0</v>
      </c>
      <c r="T409" s="5">
        <f t="shared" si="82"/>
        <v>0</v>
      </c>
      <c r="U409" s="5">
        <f t="shared" si="83"/>
        <v>0</v>
      </c>
      <c r="V409" s="5">
        <f t="shared" si="71"/>
        <v>0</v>
      </c>
    </row>
    <row r="410" spans="1:22" ht="13.5" customHeight="1" x14ac:dyDescent="0.25">
      <c r="A410" s="594"/>
      <c r="B410" s="377"/>
      <c r="C410" s="377"/>
      <c r="D410" s="443">
        <f t="shared" ref="D410:D473" si="84">B410-C410+D409</f>
        <v>100</v>
      </c>
      <c r="E410" s="580"/>
      <c r="F410" s="580"/>
      <c r="J410" s="26">
        <f t="shared" si="72"/>
        <v>0</v>
      </c>
      <c r="K410" s="5">
        <f t="shared" si="73"/>
        <v>0</v>
      </c>
      <c r="L410" s="5">
        <f t="shared" si="74"/>
        <v>0</v>
      </c>
      <c r="M410" s="5">
        <f t="shared" si="75"/>
        <v>0</v>
      </c>
      <c r="N410" s="5">
        <f t="shared" si="76"/>
        <v>0</v>
      </c>
      <c r="O410" s="5">
        <f t="shared" si="77"/>
        <v>0</v>
      </c>
      <c r="P410" s="5">
        <f t="shared" si="78"/>
        <v>0</v>
      </c>
      <c r="Q410" s="5">
        <f t="shared" si="79"/>
        <v>0</v>
      </c>
      <c r="R410" s="5">
        <f t="shared" si="80"/>
        <v>0</v>
      </c>
      <c r="S410" s="5">
        <f t="shared" si="81"/>
        <v>0</v>
      </c>
      <c r="T410" s="5">
        <f t="shared" si="82"/>
        <v>0</v>
      </c>
      <c r="U410" s="5">
        <f t="shared" si="83"/>
        <v>0</v>
      </c>
      <c r="V410" s="5">
        <f t="shared" ref="V410:V473" si="85">IF(E410="Catch Up XP",C410,0)</f>
        <v>0</v>
      </c>
    </row>
    <row r="411" spans="1:22" ht="13.5" customHeight="1" x14ac:dyDescent="0.25">
      <c r="A411" s="594"/>
      <c r="B411" s="377"/>
      <c r="C411" s="377"/>
      <c r="D411" s="443">
        <f t="shared" si="84"/>
        <v>100</v>
      </c>
      <c r="E411" s="580"/>
      <c r="F411" s="580"/>
      <c r="J411" s="26">
        <f t="shared" ref="J411:J474" si="86">IF(E411="Attributes",C411,0)</f>
        <v>0</v>
      </c>
      <c r="K411" s="5">
        <f t="shared" ref="K411:K474" si="87">IF(E411="Skills",C411,0)</f>
        <v>0</v>
      </c>
      <c r="L411" s="5">
        <f t="shared" ref="L411:L474" si="88">IF(E411="Specialization",C411,0)</f>
        <v>0</v>
      </c>
      <c r="M411" s="5">
        <f t="shared" ref="M411:M474" si="89">IF(E411="Blood Potency",C411,0)</f>
        <v>0</v>
      </c>
      <c r="N411" s="5">
        <f t="shared" ref="N411:N474" si="90">IF(E411="Merits",C411,0)</f>
        <v>0</v>
      </c>
      <c r="O411" s="5">
        <f t="shared" ref="O411:O474" si="91">IF(E411="Lost Merits",C411,0)</f>
        <v>0</v>
      </c>
      <c r="P411" s="5">
        <f t="shared" ref="P411:P474" si="92">IF(E411="Disciplines",C411,0)</f>
        <v>0</v>
      </c>
      <c r="Q411" s="5">
        <f t="shared" ref="Q411:Q474" si="93">IF(E411="Rituals",C411,0)</f>
        <v>0</v>
      </c>
      <c r="R411" s="5">
        <f t="shared" ref="R411:R474" si="94">IF(E411="Devotions",C411,0)</f>
        <v>0</v>
      </c>
      <c r="S411" s="5">
        <f t="shared" ref="S411:S474" si="95">IF(E411="Willpower",C411,0)</f>
        <v>0</v>
      </c>
      <c r="T411" s="5">
        <f t="shared" ref="T411:T474" si="96">IF(E411="Humanity",C411,0)</f>
        <v>0</v>
      </c>
      <c r="U411" s="5">
        <f t="shared" ref="U411:U474" si="97">IF(E411="Oaths",C411,0)</f>
        <v>0</v>
      </c>
      <c r="V411" s="5">
        <f t="shared" si="85"/>
        <v>0</v>
      </c>
    </row>
    <row r="412" spans="1:22" ht="13.5" customHeight="1" x14ac:dyDescent="0.25">
      <c r="A412" s="594"/>
      <c r="B412" s="377"/>
      <c r="C412" s="377"/>
      <c r="D412" s="443">
        <f t="shared" si="84"/>
        <v>100</v>
      </c>
      <c r="E412" s="580"/>
      <c r="F412" s="580"/>
      <c r="J412" s="26">
        <f t="shared" si="86"/>
        <v>0</v>
      </c>
      <c r="K412" s="5">
        <f t="shared" si="87"/>
        <v>0</v>
      </c>
      <c r="L412" s="5">
        <f t="shared" si="88"/>
        <v>0</v>
      </c>
      <c r="M412" s="5">
        <f t="shared" si="89"/>
        <v>0</v>
      </c>
      <c r="N412" s="5">
        <f t="shared" si="90"/>
        <v>0</v>
      </c>
      <c r="O412" s="5">
        <f t="shared" si="91"/>
        <v>0</v>
      </c>
      <c r="P412" s="5">
        <f t="shared" si="92"/>
        <v>0</v>
      </c>
      <c r="Q412" s="5">
        <f t="shared" si="93"/>
        <v>0</v>
      </c>
      <c r="R412" s="5">
        <f t="shared" si="94"/>
        <v>0</v>
      </c>
      <c r="S412" s="5">
        <f t="shared" si="95"/>
        <v>0</v>
      </c>
      <c r="T412" s="5">
        <f t="shared" si="96"/>
        <v>0</v>
      </c>
      <c r="U412" s="5">
        <f t="shared" si="97"/>
        <v>0</v>
      </c>
      <c r="V412" s="5">
        <f t="shared" si="85"/>
        <v>0</v>
      </c>
    </row>
    <row r="413" spans="1:22" ht="13.5" customHeight="1" x14ac:dyDescent="0.25">
      <c r="A413" s="594"/>
      <c r="B413" s="377"/>
      <c r="C413" s="377"/>
      <c r="D413" s="443">
        <f t="shared" si="84"/>
        <v>100</v>
      </c>
      <c r="E413" s="580"/>
      <c r="F413" s="580"/>
      <c r="J413" s="26">
        <f t="shared" si="86"/>
        <v>0</v>
      </c>
      <c r="K413" s="5">
        <f t="shared" si="87"/>
        <v>0</v>
      </c>
      <c r="L413" s="5">
        <f t="shared" si="88"/>
        <v>0</v>
      </c>
      <c r="M413" s="5">
        <f t="shared" si="89"/>
        <v>0</v>
      </c>
      <c r="N413" s="5">
        <f t="shared" si="90"/>
        <v>0</v>
      </c>
      <c r="O413" s="5">
        <f t="shared" si="91"/>
        <v>0</v>
      </c>
      <c r="P413" s="5">
        <f t="shared" si="92"/>
        <v>0</v>
      </c>
      <c r="Q413" s="5">
        <f t="shared" si="93"/>
        <v>0</v>
      </c>
      <c r="R413" s="5">
        <f t="shared" si="94"/>
        <v>0</v>
      </c>
      <c r="S413" s="5">
        <f t="shared" si="95"/>
        <v>0</v>
      </c>
      <c r="T413" s="5">
        <f t="shared" si="96"/>
        <v>0</v>
      </c>
      <c r="U413" s="5">
        <f t="shared" si="97"/>
        <v>0</v>
      </c>
      <c r="V413" s="5">
        <f t="shared" si="85"/>
        <v>0</v>
      </c>
    </row>
    <row r="414" spans="1:22" ht="13.5" customHeight="1" x14ac:dyDescent="0.25">
      <c r="A414" s="594"/>
      <c r="B414" s="377"/>
      <c r="C414" s="377"/>
      <c r="D414" s="443">
        <f t="shared" si="84"/>
        <v>100</v>
      </c>
      <c r="E414" s="580"/>
      <c r="F414" s="580"/>
      <c r="J414" s="26">
        <f t="shared" si="86"/>
        <v>0</v>
      </c>
      <c r="K414" s="5">
        <f t="shared" si="87"/>
        <v>0</v>
      </c>
      <c r="L414" s="5">
        <f t="shared" si="88"/>
        <v>0</v>
      </c>
      <c r="M414" s="5">
        <f t="shared" si="89"/>
        <v>0</v>
      </c>
      <c r="N414" s="5">
        <f t="shared" si="90"/>
        <v>0</v>
      </c>
      <c r="O414" s="5">
        <f t="shared" si="91"/>
        <v>0</v>
      </c>
      <c r="P414" s="5">
        <f t="shared" si="92"/>
        <v>0</v>
      </c>
      <c r="Q414" s="5">
        <f t="shared" si="93"/>
        <v>0</v>
      </c>
      <c r="R414" s="5">
        <f t="shared" si="94"/>
        <v>0</v>
      </c>
      <c r="S414" s="5">
        <f t="shared" si="95"/>
        <v>0</v>
      </c>
      <c r="T414" s="5">
        <f t="shared" si="96"/>
        <v>0</v>
      </c>
      <c r="U414" s="5">
        <f t="shared" si="97"/>
        <v>0</v>
      </c>
      <c r="V414" s="5">
        <f t="shared" si="85"/>
        <v>0</v>
      </c>
    </row>
    <row r="415" spans="1:22" ht="13.5" customHeight="1" x14ac:dyDescent="0.25">
      <c r="A415" s="594"/>
      <c r="B415" s="377"/>
      <c r="C415" s="377"/>
      <c r="D415" s="443">
        <f t="shared" si="84"/>
        <v>100</v>
      </c>
      <c r="E415" s="580"/>
      <c r="F415" s="580"/>
      <c r="J415" s="26">
        <f t="shared" si="86"/>
        <v>0</v>
      </c>
      <c r="K415" s="5">
        <f t="shared" si="87"/>
        <v>0</v>
      </c>
      <c r="L415" s="5">
        <f t="shared" si="88"/>
        <v>0</v>
      </c>
      <c r="M415" s="5">
        <f t="shared" si="89"/>
        <v>0</v>
      </c>
      <c r="N415" s="5">
        <f t="shared" si="90"/>
        <v>0</v>
      </c>
      <c r="O415" s="5">
        <f t="shared" si="91"/>
        <v>0</v>
      </c>
      <c r="P415" s="5">
        <f t="shared" si="92"/>
        <v>0</v>
      </c>
      <c r="Q415" s="5">
        <f t="shared" si="93"/>
        <v>0</v>
      </c>
      <c r="R415" s="5">
        <f t="shared" si="94"/>
        <v>0</v>
      </c>
      <c r="S415" s="5">
        <f t="shared" si="95"/>
        <v>0</v>
      </c>
      <c r="T415" s="5">
        <f t="shared" si="96"/>
        <v>0</v>
      </c>
      <c r="U415" s="5">
        <f t="shared" si="97"/>
        <v>0</v>
      </c>
      <c r="V415" s="5">
        <f t="shared" si="85"/>
        <v>0</v>
      </c>
    </row>
    <row r="416" spans="1:22" ht="13.5" customHeight="1" x14ac:dyDescent="0.25">
      <c r="A416" s="594"/>
      <c r="B416" s="377"/>
      <c r="C416" s="377"/>
      <c r="D416" s="443">
        <f t="shared" si="84"/>
        <v>100</v>
      </c>
      <c r="E416" s="580"/>
      <c r="F416" s="580"/>
      <c r="J416" s="26">
        <f t="shared" si="86"/>
        <v>0</v>
      </c>
      <c r="K416" s="5">
        <f t="shared" si="87"/>
        <v>0</v>
      </c>
      <c r="L416" s="5">
        <f t="shared" si="88"/>
        <v>0</v>
      </c>
      <c r="M416" s="5">
        <f t="shared" si="89"/>
        <v>0</v>
      </c>
      <c r="N416" s="5">
        <f t="shared" si="90"/>
        <v>0</v>
      </c>
      <c r="O416" s="5">
        <f t="shared" si="91"/>
        <v>0</v>
      </c>
      <c r="P416" s="5">
        <f t="shared" si="92"/>
        <v>0</v>
      </c>
      <c r="Q416" s="5">
        <f t="shared" si="93"/>
        <v>0</v>
      </c>
      <c r="R416" s="5">
        <f t="shared" si="94"/>
        <v>0</v>
      </c>
      <c r="S416" s="5">
        <f t="shared" si="95"/>
        <v>0</v>
      </c>
      <c r="T416" s="5">
        <f t="shared" si="96"/>
        <v>0</v>
      </c>
      <c r="U416" s="5">
        <f t="shared" si="97"/>
        <v>0</v>
      </c>
      <c r="V416" s="5">
        <f t="shared" si="85"/>
        <v>0</v>
      </c>
    </row>
    <row r="417" spans="1:22" ht="13.5" customHeight="1" x14ac:dyDescent="0.25">
      <c r="A417" s="594"/>
      <c r="B417" s="377"/>
      <c r="C417" s="377"/>
      <c r="D417" s="443">
        <f t="shared" si="84"/>
        <v>100</v>
      </c>
      <c r="E417" s="580"/>
      <c r="F417" s="580"/>
      <c r="J417" s="26">
        <f t="shared" si="86"/>
        <v>0</v>
      </c>
      <c r="K417" s="5">
        <f t="shared" si="87"/>
        <v>0</v>
      </c>
      <c r="L417" s="5">
        <f t="shared" si="88"/>
        <v>0</v>
      </c>
      <c r="M417" s="5">
        <f t="shared" si="89"/>
        <v>0</v>
      </c>
      <c r="N417" s="5">
        <f t="shared" si="90"/>
        <v>0</v>
      </c>
      <c r="O417" s="5">
        <f t="shared" si="91"/>
        <v>0</v>
      </c>
      <c r="P417" s="5">
        <f t="shared" si="92"/>
        <v>0</v>
      </c>
      <c r="Q417" s="5">
        <f t="shared" si="93"/>
        <v>0</v>
      </c>
      <c r="R417" s="5">
        <f t="shared" si="94"/>
        <v>0</v>
      </c>
      <c r="S417" s="5">
        <f t="shared" si="95"/>
        <v>0</v>
      </c>
      <c r="T417" s="5">
        <f t="shared" si="96"/>
        <v>0</v>
      </c>
      <c r="U417" s="5">
        <f t="shared" si="97"/>
        <v>0</v>
      </c>
      <c r="V417" s="5">
        <f t="shared" si="85"/>
        <v>0</v>
      </c>
    </row>
    <row r="418" spans="1:22" ht="13.5" customHeight="1" x14ac:dyDescent="0.25">
      <c r="A418" s="594"/>
      <c r="B418" s="377"/>
      <c r="C418" s="377"/>
      <c r="D418" s="443">
        <f t="shared" si="84"/>
        <v>100</v>
      </c>
      <c r="E418" s="580"/>
      <c r="F418" s="580"/>
      <c r="J418" s="26">
        <f t="shared" si="86"/>
        <v>0</v>
      </c>
      <c r="K418" s="5">
        <f t="shared" si="87"/>
        <v>0</v>
      </c>
      <c r="L418" s="5">
        <f t="shared" si="88"/>
        <v>0</v>
      </c>
      <c r="M418" s="5">
        <f t="shared" si="89"/>
        <v>0</v>
      </c>
      <c r="N418" s="5">
        <f t="shared" si="90"/>
        <v>0</v>
      </c>
      <c r="O418" s="5">
        <f t="shared" si="91"/>
        <v>0</v>
      </c>
      <c r="P418" s="5">
        <f t="shared" si="92"/>
        <v>0</v>
      </c>
      <c r="Q418" s="5">
        <f t="shared" si="93"/>
        <v>0</v>
      </c>
      <c r="R418" s="5">
        <f t="shared" si="94"/>
        <v>0</v>
      </c>
      <c r="S418" s="5">
        <f t="shared" si="95"/>
        <v>0</v>
      </c>
      <c r="T418" s="5">
        <f t="shared" si="96"/>
        <v>0</v>
      </c>
      <c r="U418" s="5">
        <f t="shared" si="97"/>
        <v>0</v>
      </c>
      <c r="V418" s="5">
        <f t="shared" si="85"/>
        <v>0</v>
      </c>
    </row>
    <row r="419" spans="1:22" ht="13.5" customHeight="1" x14ac:dyDescent="0.25">
      <c r="A419" s="594"/>
      <c r="B419" s="377"/>
      <c r="C419" s="377"/>
      <c r="D419" s="443">
        <f t="shared" si="84"/>
        <v>100</v>
      </c>
      <c r="E419" s="580"/>
      <c r="F419" s="580"/>
      <c r="J419" s="26">
        <f t="shared" si="86"/>
        <v>0</v>
      </c>
      <c r="K419" s="5">
        <f t="shared" si="87"/>
        <v>0</v>
      </c>
      <c r="L419" s="5">
        <f t="shared" si="88"/>
        <v>0</v>
      </c>
      <c r="M419" s="5">
        <f t="shared" si="89"/>
        <v>0</v>
      </c>
      <c r="N419" s="5">
        <f t="shared" si="90"/>
        <v>0</v>
      </c>
      <c r="O419" s="5">
        <f t="shared" si="91"/>
        <v>0</v>
      </c>
      <c r="P419" s="5">
        <f t="shared" si="92"/>
        <v>0</v>
      </c>
      <c r="Q419" s="5">
        <f t="shared" si="93"/>
        <v>0</v>
      </c>
      <c r="R419" s="5">
        <f t="shared" si="94"/>
        <v>0</v>
      </c>
      <c r="S419" s="5">
        <f t="shared" si="95"/>
        <v>0</v>
      </c>
      <c r="T419" s="5">
        <f t="shared" si="96"/>
        <v>0</v>
      </c>
      <c r="U419" s="5">
        <f t="shared" si="97"/>
        <v>0</v>
      </c>
      <c r="V419" s="5">
        <f t="shared" si="85"/>
        <v>0</v>
      </c>
    </row>
    <row r="420" spans="1:22" ht="13.5" customHeight="1" x14ac:dyDescent="0.25">
      <c r="A420" s="594"/>
      <c r="B420" s="377"/>
      <c r="C420" s="377"/>
      <c r="D420" s="443">
        <f t="shared" si="84"/>
        <v>100</v>
      </c>
      <c r="E420" s="580"/>
      <c r="F420" s="580"/>
      <c r="J420" s="26">
        <f t="shared" si="86"/>
        <v>0</v>
      </c>
      <c r="K420" s="5">
        <f t="shared" si="87"/>
        <v>0</v>
      </c>
      <c r="L420" s="5">
        <f t="shared" si="88"/>
        <v>0</v>
      </c>
      <c r="M420" s="5">
        <f t="shared" si="89"/>
        <v>0</v>
      </c>
      <c r="N420" s="5">
        <f t="shared" si="90"/>
        <v>0</v>
      </c>
      <c r="O420" s="5">
        <f t="shared" si="91"/>
        <v>0</v>
      </c>
      <c r="P420" s="5">
        <f t="shared" si="92"/>
        <v>0</v>
      </c>
      <c r="Q420" s="5">
        <f t="shared" si="93"/>
        <v>0</v>
      </c>
      <c r="R420" s="5">
        <f t="shared" si="94"/>
        <v>0</v>
      </c>
      <c r="S420" s="5">
        <f t="shared" si="95"/>
        <v>0</v>
      </c>
      <c r="T420" s="5">
        <f t="shared" si="96"/>
        <v>0</v>
      </c>
      <c r="U420" s="5">
        <f t="shared" si="97"/>
        <v>0</v>
      </c>
      <c r="V420" s="5">
        <f t="shared" si="85"/>
        <v>0</v>
      </c>
    </row>
    <row r="421" spans="1:22" ht="13.5" customHeight="1" x14ac:dyDescent="0.25">
      <c r="A421" s="594"/>
      <c r="B421" s="377"/>
      <c r="C421" s="377"/>
      <c r="D421" s="443">
        <f t="shared" si="84"/>
        <v>100</v>
      </c>
      <c r="E421" s="580"/>
      <c r="F421" s="580"/>
      <c r="J421" s="26">
        <f t="shared" si="86"/>
        <v>0</v>
      </c>
      <c r="K421" s="5">
        <f t="shared" si="87"/>
        <v>0</v>
      </c>
      <c r="L421" s="5">
        <f t="shared" si="88"/>
        <v>0</v>
      </c>
      <c r="M421" s="5">
        <f t="shared" si="89"/>
        <v>0</v>
      </c>
      <c r="N421" s="5">
        <f t="shared" si="90"/>
        <v>0</v>
      </c>
      <c r="O421" s="5">
        <f t="shared" si="91"/>
        <v>0</v>
      </c>
      <c r="P421" s="5">
        <f t="shared" si="92"/>
        <v>0</v>
      </c>
      <c r="Q421" s="5">
        <f t="shared" si="93"/>
        <v>0</v>
      </c>
      <c r="R421" s="5">
        <f t="shared" si="94"/>
        <v>0</v>
      </c>
      <c r="S421" s="5">
        <f t="shared" si="95"/>
        <v>0</v>
      </c>
      <c r="T421" s="5">
        <f t="shared" si="96"/>
        <v>0</v>
      </c>
      <c r="U421" s="5">
        <f t="shared" si="97"/>
        <v>0</v>
      </c>
      <c r="V421" s="5">
        <f t="shared" si="85"/>
        <v>0</v>
      </c>
    </row>
    <row r="422" spans="1:22" ht="13.5" customHeight="1" x14ac:dyDescent="0.25">
      <c r="A422" s="594"/>
      <c r="B422" s="377"/>
      <c r="C422" s="377"/>
      <c r="D422" s="443">
        <f t="shared" si="84"/>
        <v>100</v>
      </c>
      <c r="E422" s="580"/>
      <c r="F422" s="580"/>
      <c r="J422" s="26">
        <f t="shared" si="86"/>
        <v>0</v>
      </c>
      <c r="K422" s="5">
        <f t="shared" si="87"/>
        <v>0</v>
      </c>
      <c r="L422" s="5">
        <f t="shared" si="88"/>
        <v>0</v>
      </c>
      <c r="M422" s="5">
        <f t="shared" si="89"/>
        <v>0</v>
      </c>
      <c r="N422" s="5">
        <f t="shared" si="90"/>
        <v>0</v>
      </c>
      <c r="O422" s="5">
        <f t="shared" si="91"/>
        <v>0</v>
      </c>
      <c r="P422" s="5">
        <f t="shared" si="92"/>
        <v>0</v>
      </c>
      <c r="Q422" s="5">
        <f t="shared" si="93"/>
        <v>0</v>
      </c>
      <c r="R422" s="5">
        <f t="shared" si="94"/>
        <v>0</v>
      </c>
      <c r="S422" s="5">
        <f t="shared" si="95"/>
        <v>0</v>
      </c>
      <c r="T422" s="5">
        <f t="shared" si="96"/>
        <v>0</v>
      </c>
      <c r="U422" s="5">
        <f t="shared" si="97"/>
        <v>0</v>
      </c>
      <c r="V422" s="5">
        <f t="shared" si="85"/>
        <v>0</v>
      </c>
    </row>
    <row r="423" spans="1:22" ht="13.5" customHeight="1" x14ac:dyDescent="0.25">
      <c r="A423" s="594"/>
      <c r="B423" s="377"/>
      <c r="C423" s="377"/>
      <c r="D423" s="443">
        <f t="shared" si="84"/>
        <v>100</v>
      </c>
      <c r="E423" s="580"/>
      <c r="F423" s="580"/>
      <c r="J423" s="26">
        <f t="shared" si="86"/>
        <v>0</v>
      </c>
      <c r="K423" s="5">
        <f t="shared" si="87"/>
        <v>0</v>
      </c>
      <c r="L423" s="5">
        <f t="shared" si="88"/>
        <v>0</v>
      </c>
      <c r="M423" s="5">
        <f t="shared" si="89"/>
        <v>0</v>
      </c>
      <c r="N423" s="5">
        <f t="shared" si="90"/>
        <v>0</v>
      </c>
      <c r="O423" s="5">
        <f t="shared" si="91"/>
        <v>0</v>
      </c>
      <c r="P423" s="5">
        <f t="shared" si="92"/>
        <v>0</v>
      </c>
      <c r="Q423" s="5">
        <f t="shared" si="93"/>
        <v>0</v>
      </c>
      <c r="R423" s="5">
        <f t="shared" si="94"/>
        <v>0</v>
      </c>
      <c r="S423" s="5">
        <f t="shared" si="95"/>
        <v>0</v>
      </c>
      <c r="T423" s="5">
        <f t="shared" si="96"/>
        <v>0</v>
      </c>
      <c r="U423" s="5">
        <f t="shared" si="97"/>
        <v>0</v>
      </c>
      <c r="V423" s="5">
        <f t="shared" si="85"/>
        <v>0</v>
      </c>
    </row>
    <row r="424" spans="1:22" ht="13.5" customHeight="1" x14ac:dyDescent="0.25">
      <c r="A424" s="594"/>
      <c r="B424" s="377"/>
      <c r="C424" s="377"/>
      <c r="D424" s="443">
        <f t="shared" si="84"/>
        <v>100</v>
      </c>
      <c r="E424" s="580"/>
      <c r="F424" s="580"/>
      <c r="J424" s="26">
        <f t="shared" si="86"/>
        <v>0</v>
      </c>
      <c r="K424" s="5">
        <f t="shared" si="87"/>
        <v>0</v>
      </c>
      <c r="L424" s="5">
        <f t="shared" si="88"/>
        <v>0</v>
      </c>
      <c r="M424" s="5">
        <f t="shared" si="89"/>
        <v>0</v>
      </c>
      <c r="N424" s="5">
        <f t="shared" si="90"/>
        <v>0</v>
      </c>
      <c r="O424" s="5">
        <f t="shared" si="91"/>
        <v>0</v>
      </c>
      <c r="P424" s="5">
        <f t="shared" si="92"/>
        <v>0</v>
      </c>
      <c r="Q424" s="5">
        <f t="shared" si="93"/>
        <v>0</v>
      </c>
      <c r="R424" s="5">
        <f t="shared" si="94"/>
        <v>0</v>
      </c>
      <c r="S424" s="5">
        <f t="shared" si="95"/>
        <v>0</v>
      </c>
      <c r="T424" s="5">
        <f t="shared" si="96"/>
        <v>0</v>
      </c>
      <c r="U424" s="5">
        <f t="shared" si="97"/>
        <v>0</v>
      </c>
      <c r="V424" s="5">
        <f t="shared" si="85"/>
        <v>0</v>
      </c>
    </row>
    <row r="425" spans="1:22" ht="13.5" customHeight="1" x14ac:dyDescent="0.25">
      <c r="A425" s="594"/>
      <c r="B425" s="377"/>
      <c r="C425" s="377"/>
      <c r="D425" s="443">
        <f t="shared" si="84"/>
        <v>100</v>
      </c>
      <c r="E425" s="580"/>
      <c r="F425" s="580"/>
      <c r="J425" s="26">
        <f t="shared" si="86"/>
        <v>0</v>
      </c>
      <c r="K425" s="5">
        <f t="shared" si="87"/>
        <v>0</v>
      </c>
      <c r="L425" s="5">
        <f t="shared" si="88"/>
        <v>0</v>
      </c>
      <c r="M425" s="5">
        <f t="shared" si="89"/>
        <v>0</v>
      </c>
      <c r="N425" s="5">
        <f t="shared" si="90"/>
        <v>0</v>
      </c>
      <c r="O425" s="5">
        <f t="shared" si="91"/>
        <v>0</v>
      </c>
      <c r="P425" s="5">
        <f t="shared" si="92"/>
        <v>0</v>
      </c>
      <c r="Q425" s="5">
        <f t="shared" si="93"/>
        <v>0</v>
      </c>
      <c r="R425" s="5">
        <f t="shared" si="94"/>
        <v>0</v>
      </c>
      <c r="S425" s="5">
        <f t="shared" si="95"/>
        <v>0</v>
      </c>
      <c r="T425" s="5">
        <f t="shared" si="96"/>
        <v>0</v>
      </c>
      <c r="U425" s="5">
        <f t="shared" si="97"/>
        <v>0</v>
      </c>
      <c r="V425" s="5">
        <f t="shared" si="85"/>
        <v>0</v>
      </c>
    </row>
    <row r="426" spans="1:22" ht="13.5" customHeight="1" x14ac:dyDescent="0.25">
      <c r="A426" s="594"/>
      <c r="B426" s="377"/>
      <c r="C426" s="377"/>
      <c r="D426" s="443">
        <f t="shared" si="84"/>
        <v>100</v>
      </c>
      <c r="E426" s="580"/>
      <c r="F426" s="580"/>
      <c r="J426" s="26">
        <f t="shared" si="86"/>
        <v>0</v>
      </c>
      <c r="K426" s="5">
        <f t="shared" si="87"/>
        <v>0</v>
      </c>
      <c r="L426" s="5">
        <f t="shared" si="88"/>
        <v>0</v>
      </c>
      <c r="M426" s="5">
        <f t="shared" si="89"/>
        <v>0</v>
      </c>
      <c r="N426" s="5">
        <f t="shared" si="90"/>
        <v>0</v>
      </c>
      <c r="O426" s="5">
        <f t="shared" si="91"/>
        <v>0</v>
      </c>
      <c r="P426" s="5">
        <f t="shared" si="92"/>
        <v>0</v>
      </c>
      <c r="Q426" s="5">
        <f t="shared" si="93"/>
        <v>0</v>
      </c>
      <c r="R426" s="5">
        <f t="shared" si="94"/>
        <v>0</v>
      </c>
      <c r="S426" s="5">
        <f t="shared" si="95"/>
        <v>0</v>
      </c>
      <c r="T426" s="5">
        <f t="shared" si="96"/>
        <v>0</v>
      </c>
      <c r="U426" s="5">
        <f t="shared" si="97"/>
        <v>0</v>
      </c>
      <c r="V426" s="5">
        <f t="shared" si="85"/>
        <v>0</v>
      </c>
    </row>
    <row r="427" spans="1:22" ht="13.5" customHeight="1" x14ac:dyDescent="0.25">
      <c r="A427" s="594"/>
      <c r="B427" s="377"/>
      <c r="C427" s="377"/>
      <c r="D427" s="443">
        <f t="shared" si="84"/>
        <v>100</v>
      </c>
      <c r="E427" s="580"/>
      <c r="F427" s="580"/>
      <c r="J427" s="26">
        <f t="shared" si="86"/>
        <v>0</v>
      </c>
      <c r="K427" s="5">
        <f t="shared" si="87"/>
        <v>0</v>
      </c>
      <c r="L427" s="5">
        <f t="shared" si="88"/>
        <v>0</v>
      </c>
      <c r="M427" s="5">
        <f t="shared" si="89"/>
        <v>0</v>
      </c>
      <c r="N427" s="5">
        <f t="shared" si="90"/>
        <v>0</v>
      </c>
      <c r="O427" s="5">
        <f t="shared" si="91"/>
        <v>0</v>
      </c>
      <c r="P427" s="5">
        <f t="shared" si="92"/>
        <v>0</v>
      </c>
      <c r="Q427" s="5">
        <f t="shared" si="93"/>
        <v>0</v>
      </c>
      <c r="R427" s="5">
        <f t="shared" si="94"/>
        <v>0</v>
      </c>
      <c r="S427" s="5">
        <f t="shared" si="95"/>
        <v>0</v>
      </c>
      <c r="T427" s="5">
        <f t="shared" si="96"/>
        <v>0</v>
      </c>
      <c r="U427" s="5">
        <f t="shared" si="97"/>
        <v>0</v>
      </c>
      <c r="V427" s="5">
        <f t="shared" si="85"/>
        <v>0</v>
      </c>
    </row>
    <row r="428" spans="1:22" ht="13.5" customHeight="1" x14ac:dyDescent="0.25">
      <c r="A428" s="594"/>
      <c r="B428" s="377"/>
      <c r="C428" s="377"/>
      <c r="D428" s="443">
        <f t="shared" si="84"/>
        <v>100</v>
      </c>
      <c r="E428" s="580"/>
      <c r="F428" s="580"/>
      <c r="J428" s="26">
        <f t="shared" si="86"/>
        <v>0</v>
      </c>
      <c r="K428" s="5">
        <f t="shared" si="87"/>
        <v>0</v>
      </c>
      <c r="L428" s="5">
        <f t="shared" si="88"/>
        <v>0</v>
      </c>
      <c r="M428" s="5">
        <f t="shared" si="89"/>
        <v>0</v>
      </c>
      <c r="N428" s="5">
        <f t="shared" si="90"/>
        <v>0</v>
      </c>
      <c r="O428" s="5">
        <f t="shared" si="91"/>
        <v>0</v>
      </c>
      <c r="P428" s="5">
        <f t="shared" si="92"/>
        <v>0</v>
      </c>
      <c r="Q428" s="5">
        <f t="shared" si="93"/>
        <v>0</v>
      </c>
      <c r="R428" s="5">
        <f t="shared" si="94"/>
        <v>0</v>
      </c>
      <c r="S428" s="5">
        <f t="shared" si="95"/>
        <v>0</v>
      </c>
      <c r="T428" s="5">
        <f t="shared" si="96"/>
        <v>0</v>
      </c>
      <c r="U428" s="5">
        <f t="shared" si="97"/>
        <v>0</v>
      </c>
      <c r="V428" s="5">
        <f t="shared" si="85"/>
        <v>0</v>
      </c>
    </row>
    <row r="429" spans="1:22" ht="13.5" customHeight="1" x14ac:dyDescent="0.25">
      <c r="A429" s="594"/>
      <c r="B429" s="377"/>
      <c r="C429" s="377"/>
      <c r="D429" s="443">
        <f t="shared" si="84"/>
        <v>100</v>
      </c>
      <c r="E429" s="580"/>
      <c r="F429" s="580"/>
      <c r="J429" s="26">
        <f t="shared" si="86"/>
        <v>0</v>
      </c>
      <c r="K429" s="5">
        <f t="shared" si="87"/>
        <v>0</v>
      </c>
      <c r="L429" s="5">
        <f t="shared" si="88"/>
        <v>0</v>
      </c>
      <c r="M429" s="5">
        <f t="shared" si="89"/>
        <v>0</v>
      </c>
      <c r="N429" s="5">
        <f t="shared" si="90"/>
        <v>0</v>
      </c>
      <c r="O429" s="5">
        <f t="shared" si="91"/>
        <v>0</v>
      </c>
      <c r="P429" s="5">
        <f t="shared" si="92"/>
        <v>0</v>
      </c>
      <c r="Q429" s="5">
        <f t="shared" si="93"/>
        <v>0</v>
      </c>
      <c r="R429" s="5">
        <f t="shared" si="94"/>
        <v>0</v>
      </c>
      <c r="S429" s="5">
        <f t="shared" si="95"/>
        <v>0</v>
      </c>
      <c r="T429" s="5">
        <f t="shared" si="96"/>
        <v>0</v>
      </c>
      <c r="U429" s="5">
        <f t="shared" si="97"/>
        <v>0</v>
      </c>
      <c r="V429" s="5">
        <f t="shared" si="85"/>
        <v>0</v>
      </c>
    </row>
    <row r="430" spans="1:22" ht="13.5" customHeight="1" x14ac:dyDescent="0.25">
      <c r="A430" s="594"/>
      <c r="B430" s="377"/>
      <c r="C430" s="377"/>
      <c r="D430" s="443">
        <f t="shared" si="84"/>
        <v>100</v>
      </c>
      <c r="E430" s="580"/>
      <c r="F430" s="580"/>
      <c r="J430" s="26">
        <f t="shared" si="86"/>
        <v>0</v>
      </c>
      <c r="K430" s="5">
        <f t="shared" si="87"/>
        <v>0</v>
      </c>
      <c r="L430" s="5">
        <f t="shared" si="88"/>
        <v>0</v>
      </c>
      <c r="M430" s="5">
        <f t="shared" si="89"/>
        <v>0</v>
      </c>
      <c r="N430" s="5">
        <f t="shared" si="90"/>
        <v>0</v>
      </c>
      <c r="O430" s="5">
        <f t="shared" si="91"/>
        <v>0</v>
      </c>
      <c r="P430" s="5">
        <f t="shared" si="92"/>
        <v>0</v>
      </c>
      <c r="Q430" s="5">
        <f t="shared" si="93"/>
        <v>0</v>
      </c>
      <c r="R430" s="5">
        <f t="shared" si="94"/>
        <v>0</v>
      </c>
      <c r="S430" s="5">
        <f t="shared" si="95"/>
        <v>0</v>
      </c>
      <c r="T430" s="5">
        <f t="shared" si="96"/>
        <v>0</v>
      </c>
      <c r="U430" s="5">
        <f t="shared" si="97"/>
        <v>0</v>
      </c>
      <c r="V430" s="5">
        <f t="shared" si="85"/>
        <v>0</v>
      </c>
    </row>
    <row r="431" spans="1:22" ht="13.5" customHeight="1" x14ac:dyDescent="0.25">
      <c r="A431" s="594"/>
      <c r="B431" s="377"/>
      <c r="C431" s="377"/>
      <c r="D431" s="443">
        <f t="shared" si="84"/>
        <v>100</v>
      </c>
      <c r="E431" s="580"/>
      <c r="F431" s="580"/>
      <c r="J431" s="26">
        <f t="shared" si="86"/>
        <v>0</v>
      </c>
      <c r="K431" s="5">
        <f t="shared" si="87"/>
        <v>0</v>
      </c>
      <c r="L431" s="5">
        <f t="shared" si="88"/>
        <v>0</v>
      </c>
      <c r="M431" s="5">
        <f t="shared" si="89"/>
        <v>0</v>
      </c>
      <c r="N431" s="5">
        <f t="shared" si="90"/>
        <v>0</v>
      </c>
      <c r="O431" s="5">
        <f t="shared" si="91"/>
        <v>0</v>
      </c>
      <c r="P431" s="5">
        <f t="shared" si="92"/>
        <v>0</v>
      </c>
      <c r="Q431" s="5">
        <f t="shared" si="93"/>
        <v>0</v>
      </c>
      <c r="R431" s="5">
        <f t="shared" si="94"/>
        <v>0</v>
      </c>
      <c r="S431" s="5">
        <f t="shared" si="95"/>
        <v>0</v>
      </c>
      <c r="T431" s="5">
        <f t="shared" si="96"/>
        <v>0</v>
      </c>
      <c r="U431" s="5">
        <f t="shared" si="97"/>
        <v>0</v>
      </c>
      <c r="V431" s="5">
        <f t="shared" si="85"/>
        <v>0</v>
      </c>
    </row>
    <row r="432" spans="1:22" ht="13.5" customHeight="1" x14ac:dyDescent="0.25">
      <c r="A432" s="594"/>
      <c r="B432" s="377"/>
      <c r="C432" s="377"/>
      <c r="D432" s="443">
        <f t="shared" si="84"/>
        <v>100</v>
      </c>
      <c r="E432" s="580"/>
      <c r="F432" s="580"/>
      <c r="J432" s="26">
        <f t="shared" si="86"/>
        <v>0</v>
      </c>
      <c r="K432" s="5">
        <f t="shared" si="87"/>
        <v>0</v>
      </c>
      <c r="L432" s="5">
        <f t="shared" si="88"/>
        <v>0</v>
      </c>
      <c r="M432" s="5">
        <f t="shared" si="89"/>
        <v>0</v>
      </c>
      <c r="N432" s="5">
        <f t="shared" si="90"/>
        <v>0</v>
      </c>
      <c r="O432" s="5">
        <f t="shared" si="91"/>
        <v>0</v>
      </c>
      <c r="P432" s="5">
        <f t="shared" si="92"/>
        <v>0</v>
      </c>
      <c r="Q432" s="5">
        <f t="shared" si="93"/>
        <v>0</v>
      </c>
      <c r="R432" s="5">
        <f t="shared" si="94"/>
        <v>0</v>
      </c>
      <c r="S432" s="5">
        <f t="shared" si="95"/>
        <v>0</v>
      </c>
      <c r="T432" s="5">
        <f t="shared" si="96"/>
        <v>0</v>
      </c>
      <c r="U432" s="5">
        <f t="shared" si="97"/>
        <v>0</v>
      </c>
      <c r="V432" s="5">
        <f t="shared" si="85"/>
        <v>0</v>
      </c>
    </row>
    <row r="433" spans="1:22" ht="13.5" customHeight="1" x14ac:dyDescent="0.25">
      <c r="A433" s="594"/>
      <c r="B433" s="377"/>
      <c r="C433" s="377"/>
      <c r="D433" s="443">
        <f t="shared" si="84"/>
        <v>100</v>
      </c>
      <c r="E433" s="580"/>
      <c r="F433" s="580"/>
      <c r="J433" s="26">
        <f t="shared" si="86"/>
        <v>0</v>
      </c>
      <c r="K433" s="5">
        <f t="shared" si="87"/>
        <v>0</v>
      </c>
      <c r="L433" s="5">
        <f t="shared" si="88"/>
        <v>0</v>
      </c>
      <c r="M433" s="5">
        <f t="shared" si="89"/>
        <v>0</v>
      </c>
      <c r="N433" s="5">
        <f t="shared" si="90"/>
        <v>0</v>
      </c>
      <c r="O433" s="5">
        <f t="shared" si="91"/>
        <v>0</v>
      </c>
      <c r="P433" s="5">
        <f t="shared" si="92"/>
        <v>0</v>
      </c>
      <c r="Q433" s="5">
        <f t="shared" si="93"/>
        <v>0</v>
      </c>
      <c r="R433" s="5">
        <f t="shared" si="94"/>
        <v>0</v>
      </c>
      <c r="S433" s="5">
        <f t="shared" si="95"/>
        <v>0</v>
      </c>
      <c r="T433" s="5">
        <f t="shared" si="96"/>
        <v>0</v>
      </c>
      <c r="U433" s="5">
        <f t="shared" si="97"/>
        <v>0</v>
      </c>
      <c r="V433" s="5">
        <f t="shared" si="85"/>
        <v>0</v>
      </c>
    </row>
    <row r="434" spans="1:22" ht="13.5" customHeight="1" x14ac:dyDescent="0.25">
      <c r="A434" s="594"/>
      <c r="B434" s="377"/>
      <c r="C434" s="377"/>
      <c r="D434" s="443">
        <f t="shared" si="84"/>
        <v>100</v>
      </c>
      <c r="E434" s="580"/>
      <c r="F434" s="580"/>
      <c r="J434" s="26">
        <f t="shared" si="86"/>
        <v>0</v>
      </c>
      <c r="K434" s="5">
        <f t="shared" si="87"/>
        <v>0</v>
      </c>
      <c r="L434" s="5">
        <f t="shared" si="88"/>
        <v>0</v>
      </c>
      <c r="M434" s="5">
        <f t="shared" si="89"/>
        <v>0</v>
      </c>
      <c r="N434" s="5">
        <f t="shared" si="90"/>
        <v>0</v>
      </c>
      <c r="O434" s="5">
        <f t="shared" si="91"/>
        <v>0</v>
      </c>
      <c r="P434" s="5">
        <f t="shared" si="92"/>
        <v>0</v>
      </c>
      <c r="Q434" s="5">
        <f t="shared" si="93"/>
        <v>0</v>
      </c>
      <c r="R434" s="5">
        <f t="shared" si="94"/>
        <v>0</v>
      </c>
      <c r="S434" s="5">
        <f t="shared" si="95"/>
        <v>0</v>
      </c>
      <c r="T434" s="5">
        <f t="shared" si="96"/>
        <v>0</v>
      </c>
      <c r="U434" s="5">
        <f t="shared" si="97"/>
        <v>0</v>
      </c>
      <c r="V434" s="5">
        <f t="shared" si="85"/>
        <v>0</v>
      </c>
    </row>
    <row r="435" spans="1:22" ht="13.5" customHeight="1" x14ac:dyDescent="0.25">
      <c r="A435" s="594"/>
      <c r="B435" s="377"/>
      <c r="C435" s="377"/>
      <c r="D435" s="443">
        <f t="shared" si="84"/>
        <v>100</v>
      </c>
      <c r="E435" s="580"/>
      <c r="F435" s="580"/>
      <c r="J435" s="26">
        <f t="shared" si="86"/>
        <v>0</v>
      </c>
      <c r="K435" s="5">
        <f t="shared" si="87"/>
        <v>0</v>
      </c>
      <c r="L435" s="5">
        <f t="shared" si="88"/>
        <v>0</v>
      </c>
      <c r="M435" s="5">
        <f t="shared" si="89"/>
        <v>0</v>
      </c>
      <c r="N435" s="5">
        <f t="shared" si="90"/>
        <v>0</v>
      </c>
      <c r="O435" s="5">
        <f t="shared" si="91"/>
        <v>0</v>
      </c>
      <c r="P435" s="5">
        <f t="shared" si="92"/>
        <v>0</v>
      </c>
      <c r="Q435" s="5">
        <f t="shared" si="93"/>
        <v>0</v>
      </c>
      <c r="R435" s="5">
        <f t="shared" si="94"/>
        <v>0</v>
      </c>
      <c r="S435" s="5">
        <f t="shared" si="95"/>
        <v>0</v>
      </c>
      <c r="T435" s="5">
        <f t="shared" si="96"/>
        <v>0</v>
      </c>
      <c r="U435" s="5">
        <f t="shared" si="97"/>
        <v>0</v>
      </c>
      <c r="V435" s="5">
        <f t="shared" si="85"/>
        <v>0</v>
      </c>
    </row>
    <row r="436" spans="1:22" ht="13.5" customHeight="1" x14ac:dyDescent="0.25">
      <c r="A436" s="594"/>
      <c r="B436" s="377"/>
      <c r="C436" s="377"/>
      <c r="D436" s="443">
        <f t="shared" si="84"/>
        <v>100</v>
      </c>
      <c r="E436" s="580"/>
      <c r="F436" s="580"/>
      <c r="J436" s="26">
        <f t="shared" si="86"/>
        <v>0</v>
      </c>
      <c r="K436" s="5">
        <f t="shared" si="87"/>
        <v>0</v>
      </c>
      <c r="L436" s="5">
        <f t="shared" si="88"/>
        <v>0</v>
      </c>
      <c r="M436" s="5">
        <f t="shared" si="89"/>
        <v>0</v>
      </c>
      <c r="N436" s="5">
        <f t="shared" si="90"/>
        <v>0</v>
      </c>
      <c r="O436" s="5">
        <f t="shared" si="91"/>
        <v>0</v>
      </c>
      <c r="P436" s="5">
        <f t="shared" si="92"/>
        <v>0</v>
      </c>
      <c r="Q436" s="5">
        <f t="shared" si="93"/>
        <v>0</v>
      </c>
      <c r="R436" s="5">
        <f t="shared" si="94"/>
        <v>0</v>
      </c>
      <c r="S436" s="5">
        <f t="shared" si="95"/>
        <v>0</v>
      </c>
      <c r="T436" s="5">
        <f t="shared" si="96"/>
        <v>0</v>
      </c>
      <c r="U436" s="5">
        <f t="shared" si="97"/>
        <v>0</v>
      </c>
      <c r="V436" s="5">
        <f t="shared" si="85"/>
        <v>0</v>
      </c>
    </row>
    <row r="437" spans="1:22" ht="13.5" customHeight="1" x14ac:dyDescent="0.25">
      <c r="A437" s="594"/>
      <c r="B437" s="377"/>
      <c r="C437" s="377"/>
      <c r="D437" s="443">
        <f t="shared" si="84"/>
        <v>100</v>
      </c>
      <c r="E437" s="580"/>
      <c r="F437" s="580"/>
      <c r="J437" s="26">
        <f t="shared" si="86"/>
        <v>0</v>
      </c>
      <c r="K437" s="5">
        <f t="shared" si="87"/>
        <v>0</v>
      </c>
      <c r="L437" s="5">
        <f t="shared" si="88"/>
        <v>0</v>
      </c>
      <c r="M437" s="5">
        <f t="shared" si="89"/>
        <v>0</v>
      </c>
      <c r="N437" s="5">
        <f t="shared" si="90"/>
        <v>0</v>
      </c>
      <c r="O437" s="5">
        <f t="shared" si="91"/>
        <v>0</v>
      </c>
      <c r="P437" s="5">
        <f t="shared" si="92"/>
        <v>0</v>
      </c>
      <c r="Q437" s="5">
        <f t="shared" si="93"/>
        <v>0</v>
      </c>
      <c r="R437" s="5">
        <f t="shared" si="94"/>
        <v>0</v>
      </c>
      <c r="S437" s="5">
        <f t="shared" si="95"/>
        <v>0</v>
      </c>
      <c r="T437" s="5">
        <f t="shared" si="96"/>
        <v>0</v>
      </c>
      <c r="U437" s="5">
        <f t="shared" si="97"/>
        <v>0</v>
      </c>
      <c r="V437" s="5">
        <f t="shared" si="85"/>
        <v>0</v>
      </c>
    </row>
    <row r="438" spans="1:22" ht="13.5" customHeight="1" x14ac:dyDescent="0.25">
      <c r="A438" s="594"/>
      <c r="B438" s="377"/>
      <c r="C438" s="377"/>
      <c r="D438" s="443">
        <f t="shared" si="84"/>
        <v>100</v>
      </c>
      <c r="E438" s="580"/>
      <c r="F438" s="580"/>
      <c r="J438" s="26">
        <f t="shared" si="86"/>
        <v>0</v>
      </c>
      <c r="K438" s="5">
        <f t="shared" si="87"/>
        <v>0</v>
      </c>
      <c r="L438" s="5">
        <f t="shared" si="88"/>
        <v>0</v>
      </c>
      <c r="M438" s="5">
        <f t="shared" si="89"/>
        <v>0</v>
      </c>
      <c r="N438" s="5">
        <f t="shared" si="90"/>
        <v>0</v>
      </c>
      <c r="O438" s="5">
        <f t="shared" si="91"/>
        <v>0</v>
      </c>
      <c r="P438" s="5">
        <f t="shared" si="92"/>
        <v>0</v>
      </c>
      <c r="Q438" s="5">
        <f t="shared" si="93"/>
        <v>0</v>
      </c>
      <c r="R438" s="5">
        <f t="shared" si="94"/>
        <v>0</v>
      </c>
      <c r="S438" s="5">
        <f t="shared" si="95"/>
        <v>0</v>
      </c>
      <c r="T438" s="5">
        <f t="shared" si="96"/>
        <v>0</v>
      </c>
      <c r="U438" s="5">
        <f t="shared" si="97"/>
        <v>0</v>
      </c>
      <c r="V438" s="5">
        <f t="shared" si="85"/>
        <v>0</v>
      </c>
    </row>
    <row r="439" spans="1:22" ht="13.5" customHeight="1" x14ac:dyDescent="0.25">
      <c r="A439" s="594"/>
      <c r="B439" s="377"/>
      <c r="C439" s="377"/>
      <c r="D439" s="443">
        <f t="shared" si="84"/>
        <v>100</v>
      </c>
      <c r="E439" s="580"/>
      <c r="F439" s="580"/>
      <c r="J439" s="26">
        <f t="shared" si="86"/>
        <v>0</v>
      </c>
      <c r="K439" s="5">
        <f t="shared" si="87"/>
        <v>0</v>
      </c>
      <c r="L439" s="5">
        <f t="shared" si="88"/>
        <v>0</v>
      </c>
      <c r="M439" s="5">
        <f t="shared" si="89"/>
        <v>0</v>
      </c>
      <c r="N439" s="5">
        <f t="shared" si="90"/>
        <v>0</v>
      </c>
      <c r="O439" s="5">
        <f t="shared" si="91"/>
        <v>0</v>
      </c>
      <c r="P439" s="5">
        <f t="shared" si="92"/>
        <v>0</v>
      </c>
      <c r="Q439" s="5">
        <f t="shared" si="93"/>
        <v>0</v>
      </c>
      <c r="R439" s="5">
        <f t="shared" si="94"/>
        <v>0</v>
      </c>
      <c r="S439" s="5">
        <f t="shared" si="95"/>
        <v>0</v>
      </c>
      <c r="T439" s="5">
        <f t="shared" si="96"/>
        <v>0</v>
      </c>
      <c r="U439" s="5">
        <f t="shared" si="97"/>
        <v>0</v>
      </c>
      <c r="V439" s="5">
        <f t="shared" si="85"/>
        <v>0</v>
      </c>
    </row>
    <row r="440" spans="1:22" ht="13.5" customHeight="1" x14ac:dyDescent="0.25">
      <c r="A440" s="594"/>
      <c r="B440" s="377"/>
      <c r="C440" s="377"/>
      <c r="D440" s="443">
        <f t="shared" si="84"/>
        <v>100</v>
      </c>
      <c r="E440" s="580"/>
      <c r="F440" s="580"/>
      <c r="J440" s="26">
        <f t="shared" si="86"/>
        <v>0</v>
      </c>
      <c r="K440" s="5">
        <f t="shared" si="87"/>
        <v>0</v>
      </c>
      <c r="L440" s="5">
        <f t="shared" si="88"/>
        <v>0</v>
      </c>
      <c r="M440" s="5">
        <f t="shared" si="89"/>
        <v>0</v>
      </c>
      <c r="N440" s="5">
        <f t="shared" si="90"/>
        <v>0</v>
      </c>
      <c r="O440" s="5">
        <f t="shared" si="91"/>
        <v>0</v>
      </c>
      <c r="P440" s="5">
        <f t="shared" si="92"/>
        <v>0</v>
      </c>
      <c r="Q440" s="5">
        <f t="shared" si="93"/>
        <v>0</v>
      </c>
      <c r="R440" s="5">
        <f t="shared" si="94"/>
        <v>0</v>
      </c>
      <c r="S440" s="5">
        <f t="shared" si="95"/>
        <v>0</v>
      </c>
      <c r="T440" s="5">
        <f t="shared" si="96"/>
        <v>0</v>
      </c>
      <c r="U440" s="5">
        <f t="shared" si="97"/>
        <v>0</v>
      </c>
      <c r="V440" s="5">
        <f t="shared" si="85"/>
        <v>0</v>
      </c>
    </row>
    <row r="441" spans="1:22" ht="13.5" customHeight="1" x14ac:dyDescent="0.25">
      <c r="A441" s="594"/>
      <c r="B441" s="377"/>
      <c r="C441" s="377"/>
      <c r="D441" s="443">
        <f t="shared" si="84"/>
        <v>100</v>
      </c>
      <c r="E441" s="580"/>
      <c r="F441" s="580"/>
      <c r="J441" s="26">
        <f t="shared" si="86"/>
        <v>0</v>
      </c>
      <c r="K441" s="5">
        <f t="shared" si="87"/>
        <v>0</v>
      </c>
      <c r="L441" s="5">
        <f t="shared" si="88"/>
        <v>0</v>
      </c>
      <c r="M441" s="5">
        <f t="shared" si="89"/>
        <v>0</v>
      </c>
      <c r="N441" s="5">
        <f t="shared" si="90"/>
        <v>0</v>
      </c>
      <c r="O441" s="5">
        <f t="shared" si="91"/>
        <v>0</v>
      </c>
      <c r="P441" s="5">
        <f t="shared" si="92"/>
        <v>0</v>
      </c>
      <c r="Q441" s="5">
        <f t="shared" si="93"/>
        <v>0</v>
      </c>
      <c r="R441" s="5">
        <f t="shared" si="94"/>
        <v>0</v>
      </c>
      <c r="S441" s="5">
        <f t="shared" si="95"/>
        <v>0</v>
      </c>
      <c r="T441" s="5">
        <f t="shared" si="96"/>
        <v>0</v>
      </c>
      <c r="U441" s="5">
        <f t="shared" si="97"/>
        <v>0</v>
      </c>
      <c r="V441" s="5">
        <f t="shared" si="85"/>
        <v>0</v>
      </c>
    </row>
    <row r="442" spans="1:22" ht="13.5" customHeight="1" x14ac:dyDescent="0.25">
      <c r="A442" s="594"/>
      <c r="B442" s="377"/>
      <c r="C442" s="377"/>
      <c r="D442" s="443">
        <f t="shared" si="84"/>
        <v>100</v>
      </c>
      <c r="E442" s="580"/>
      <c r="F442" s="580"/>
      <c r="J442" s="26">
        <f t="shared" si="86"/>
        <v>0</v>
      </c>
      <c r="K442" s="5">
        <f t="shared" si="87"/>
        <v>0</v>
      </c>
      <c r="L442" s="5">
        <f t="shared" si="88"/>
        <v>0</v>
      </c>
      <c r="M442" s="5">
        <f t="shared" si="89"/>
        <v>0</v>
      </c>
      <c r="N442" s="5">
        <f t="shared" si="90"/>
        <v>0</v>
      </c>
      <c r="O442" s="5">
        <f t="shared" si="91"/>
        <v>0</v>
      </c>
      <c r="P442" s="5">
        <f t="shared" si="92"/>
        <v>0</v>
      </c>
      <c r="Q442" s="5">
        <f t="shared" si="93"/>
        <v>0</v>
      </c>
      <c r="R442" s="5">
        <f t="shared" si="94"/>
        <v>0</v>
      </c>
      <c r="S442" s="5">
        <f t="shared" si="95"/>
        <v>0</v>
      </c>
      <c r="T442" s="5">
        <f t="shared" si="96"/>
        <v>0</v>
      </c>
      <c r="U442" s="5">
        <f t="shared" si="97"/>
        <v>0</v>
      </c>
      <c r="V442" s="5">
        <f t="shared" si="85"/>
        <v>0</v>
      </c>
    </row>
    <row r="443" spans="1:22" ht="13.5" customHeight="1" x14ac:dyDescent="0.25">
      <c r="A443" s="594"/>
      <c r="B443" s="377"/>
      <c r="C443" s="377"/>
      <c r="D443" s="443">
        <f t="shared" si="84"/>
        <v>100</v>
      </c>
      <c r="E443" s="580"/>
      <c r="F443" s="580"/>
      <c r="J443" s="26">
        <f t="shared" si="86"/>
        <v>0</v>
      </c>
      <c r="K443" s="5">
        <f t="shared" si="87"/>
        <v>0</v>
      </c>
      <c r="L443" s="5">
        <f t="shared" si="88"/>
        <v>0</v>
      </c>
      <c r="M443" s="5">
        <f t="shared" si="89"/>
        <v>0</v>
      </c>
      <c r="N443" s="5">
        <f t="shared" si="90"/>
        <v>0</v>
      </c>
      <c r="O443" s="5">
        <f t="shared" si="91"/>
        <v>0</v>
      </c>
      <c r="P443" s="5">
        <f t="shared" si="92"/>
        <v>0</v>
      </c>
      <c r="Q443" s="5">
        <f t="shared" si="93"/>
        <v>0</v>
      </c>
      <c r="R443" s="5">
        <f t="shared" si="94"/>
        <v>0</v>
      </c>
      <c r="S443" s="5">
        <f t="shared" si="95"/>
        <v>0</v>
      </c>
      <c r="T443" s="5">
        <f t="shared" si="96"/>
        <v>0</v>
      </c>
      <c r="U443" s="5">
        <f t="shared" si="97"/>
        <v>0</v>
      </c>
      <c r="V443" s="5">
        <f t="shared" si="85"/>
        <v>0</v>
      </c>
    </row>
    <row r="444" spans="1:22" ht="13.5" customHeight="1" x14ac:dyDescent="0.25">
      <c r="A444" s="594"/>
      <c r="B444" s="377"/>
      <c r="C444" s="377"/>
      <c r="D444" s="443">
        <f t="shared" si="84"/>
        <v>100</v>
      </c>
      <c r="E444" s="580"/>
      <c r="F444" s="580"/>
      <c r="J444" s="26">
        <f t="shared" si="86"/>
        <v>0</v>
      </c>
      <c r="K444" s="5">
        <f t="shared" si="87"/>
        <v>0</v>
      </c>
      <c r="L444" s="5">
        <f t="shared" si="88"/>
        <v>0</v>
      </c>
      <c r="M444" s="5">
        <f t="shared" si="89"/>
        <v>0</v>
      </c>
      <c r="N444" s="5">
        <f t="shared" si="90"/>
        <v>0</v>
      </c>
      <c r="O444" s="5">
        <f t="shared" si="91"/>
        <v>0</v>
      </c>
      <c r="P444" s="5">
        <f t="shared" si="92"/>
        <v>0</v>
      </c>
      <c r="Q444" s="5">
        <f t="shared" si="93"/>
        <v>0</v>
      </c>
      <c r="R444" s="5">
        <f t="shared" si="94"/>
        <v>0</v>
      </c>
      <c r="S444" s="5">
        <f t="shared" si="95"/>
        <v>0</v>
      </c>
      <c r="T444" s="5">
        <f t="shared" si="96"/>
        <v>0</v>
      </c>
      <c r="U444" s="5">
        <f t="shared" si="97"/>
        <v>0</v>
      </c>
      <c r="V444" s="5">
        <f t="shared" si="85"/>
        <v>0</v>
      </c>
    </row>
    <row r="445" spans="1:22" ht="13.5" customHeight="1" x14ac:dyDescent="0.25">
      <c r="A445" s="594"/>
      <c r="B445" s="377"/>
      <c r="C445" s="377"/>
      <c r="D445" s="443">
        <f t="shared" si="84"/>
        <v>100</v>
      </c>
      <c r="E445" s="580"/>
      <c r="F445" s="580"/>
      <c r="J445" s="26">
        <f t="shared" si="86"/>
        <v>0</v>
      </c>
      <c r="K445" s="5">
        <f t="shared" si="87"/>
        <v>0</v>
      </c>
      <c r="L445" s="5">
        <f t="shared" si="88"/>
        <v>0</v>
      </c>
      <c r="M445" s="5">
        <f t="shared" si="89"/>
        <v>0</v>
      </c>
      <c r="N445" s="5">
        <f t="shared" si="90"/>
        <v>0</v>
      </c>
      <c r="O445" s="5">
        <f t="shared" si="91"/>
        <v>0</v>
      </c>
      <c r="P445" s="5">
        <f t="shared" si="92"/>
        <v>0</v>
      </c>
      <c r="Q445" s="5">
        <f t="shared" si="93"/>
        <v>0</v>
      </c>
      <c r="R445" s="5">
        <f t="shared" si="94"/>
        <v>0</v>
      </c>
      <c r="S445" s="5">
        <f t="shared" si="95"/>
        <v>0</v>
      </c>
      <c r="T445" s="5">
        <f t="shared" si="96"/>
        <v>0</v>
      </c>
      <c r="U445" s="5">
        <f t="shared" si="97"/>
        <v>0</v>
      </c>
      <c r="V445" s="5">
        <f t="shared" si="85"/>
        <v>0</v>
      </c>
    </row>
    <row r="446" spans="1:22" ht="13.5" customHeight="1" x14ac:dyDescent="0.25">
      <c r="A446" s="594"/>
      <c r="B446" s="377"/>
      <c r="C446" s="377"/>
      <c r="D446" s="443">
        <f t="shared" si="84"/>
        <v>100</v>
      </c>
      <c r="E446" s="580"/>
      <c r="F446" s="580"/>
      <c r="J446" s="26">
        <f t="shared" si="86"/>
        <v>0</v>
      </c>
      <c r="K446" s="5">
        <f t="shared" si="87"/>
        <v>0</v>
      </c>
      <c r="L446" s="5">
        <f t="shared" si="88"/>
        <v>0</v>
      </c>
      <c r="M446" s="5">
        <f t="shared" si="89"/>
        <v>0</v>
      </c>
      <c r="N446" s="5">
        <f t="shared" si="90"/>
        <v>0</v>
      </c>
      <c r="O446" s="5">
        <f t="shared" si="91"/>
        <v>0</v>
      </c>
      <c r="P446" s="5">
        <f t="shared" si="92"/>
        <v>0</v>
      </c>
      <c r="Q446" s="5">
        <f t="shared" si="93"/>
        <v>0</v>
      </c>
      <c r="R446" s="5">
        <f t="shared" si="94"/>
        <v>0</v>
      </c>
      <c r="S446" s="5">
        <f t="shared" si="95"/>
        <v>0</v>
      </c>
      <c r="T446" s="5">
        <f t="shared" si="96"/>
        <v>0</v>
      </c>
      <c r="U446" s="5">
        <f t="shared" si="97"/>
        <v>0</v>
      </c>
      <c r="V446" s="5">
        <f t="shared" si="85"/>
        <v>0</v>
      </c>
    </row>
    <row r="447" spans="1:22" ht="13.5" customHeight="1" x14ac:dyDescent="0.25">
      <c r="A447" s="594"/>
      <c r="B447" s="377"/>
      <c r="C447" s="377"/>
      <c r="D447" s="443">
        <f t="shared" si="84"/>
        <v>100</v>
      </c>
      <c r="E447" s="580"/>
      <c r="F447" s="580"/>
      <c r="J447" s="26">
        <f t="shared" si="86"/>
        <v>0</v>
      </c>
      <c r="K447" s="5">
        <f t="shared" si="87"/>
        <v>0</v>
      </c>
      <c r="L447" s="5">
        <f t="shared" si="88"/>
        <v>0</v>
      </c>
      <c r="M447" s="5">
        <f t="shared" si="89"/>
        <v>0</v>
      </c>
      <c r="N447" s="5">
        <f t="shared" si="90"/>
        <v>0</v>
      </c>
      <c r="O447" s="5">
        <f t="shared" si="91"/>
        <v>0</v>
      </c>
      <c r="P447" s="5">
        <f t="shared" si="92"/>
        <v>0</v>
      </c>
      <c r="Q447" s="5">
        <f t="shared" si="93"/>
        <v>0</v>
      </c>
      <c r="R447" s="5">
        <f t="shared" si="94"/>
        <v>0</v>
      </c>
      <c r="S447" s="5">
        <f t="shared" si="95"/>
        <v>0</v>
      </c>
      <c r="T447" s="5">
        <f t="shared" si="96"/>
        <v>0</v>
      </c>
      <c r="U447" s="5">
        <f t="shared" si="97"/>
        <v>0</v>
      </c>
      <c r="V447" s="5">
        <f t="shared" si="85"/>
        <v>0</v>
      </c>
    </row>
    <row r="448" spans="1:22" ht="13.5" customHeight="1" x14ac:dyDescent="0.25">
      <c r="A448" s="594"/>
      <c r="B448" s="377"/>
      <c r="C448" s="377"/>
      <c r="D448" s="443">
        <f t="shared" si="84"/>
        <v>100</v>
      </c>
      <c r="E448" s="580"/>
      <c r="F448" s="580"/>
      <c r="J448" s="26">
        <f t="shared" si="86"/>
        <v>0</v>
      </c>
      <c r="K448" s="5">
        <f t="shared" si="87"/>
        <v>0</v>
      </c>
      <c r="L448" s="5">
        <f t="shared" si="88"/>
        <v>0</v>
      </c>
      <c r="M448" s="5">
        <f t="shared" si="89"/>
        <v>0</v>
      </c>
      <c r="N448" s="5">
        <f t="shared" si="90"/>
        <v>0</v>
      </c>
      <c r="O448" s="5">
        <f t="shared" si="91"/>
        <v>0</v>
      </c>
      <c r="P448" s="5">
        <f t="shared" si="92"/>
        <v>0</v>
      </c>
      <c r="Q448" s="5">
        <f t="shared" si="93"/>
        <v>0</v>
      </c>
      <c r="R448" s="5">
        <f t="shared" si="94"/>
        <v>0</v>
      </c>
      <c r="S448" s="5">
        <f t="shared" si="95"/>
        <v>0</v>
      </c>
      <c r="T448" s="5">
        <f t="shared" si="96"/>
        <v>0</v>
      </c>
      <c r="U448" s="5">
        <f t="shared" si="97"/>
        <v>0</v>
      </c>
      <c r="V448" s="5">
        <f t="shared" si="85"/>
        <v>0</v>
      </c>
    </row>
    <row r="449" spans="1:22" ht="13.5" customHeight="1" x14ac:dyDescent="0.25">
      <c r="A449" s="594"/>
      <c r="B449" s="377"/>
      <c r="C449" s="377"/>
      <c r="D449" s="443">
        <f t="shared" si="84"/>
        <v>100</v>
      </c>
      <c r="E449" s="580"/>
      <c r="F449" s="580"/>
      <c r="J449" s="26">
        <f t="shared" si="86"/>
        <v>0</v>
      </c>
      <c r="K449" s="5">
        <f t="shared" si="87"/>
        <v>0</v>
      </c>
      <c r="L449" s="5">
        <f t="shared" si="88"/>
        <v>0</v>
      </c>
      <c r="M449" s="5">
        <f t="shared" si="89"/>
        <v>0</v>
      </c>
      <c r="N449" s="5">
        <f t="shared" si="90"/>
        <v>0</v>
      </c>
      <c r="O449" s="5">
        <f t="shared" si="91"/>
        <v>0</v>
      </c>
      <c r="P449" s="5">
        <f t="shared" si="92"/>
        <v>0</v>
      </c>
      <c r="Q449" s="5">
        <f t="shared" si="93"/>
        <v>0</v>
      </c>
      <c r="R449" s="5">
        <f t="shared" si="94"/>
        <v>0</v>
      </c>
      <c r="S449" s="5">
        <f t="shared" si="95"/>
        <v>0</v>
      </c>
      <c r="T449" s="5">
        <f t="shared" si="96"/>
        <v>0</v>
      </c>
      <c r="U449" s="5">
        <f t="shared" si="97"/>
        <v>0</v>
      </c>
      <c r="V449" s="5">
        <f t="shared" si="85"/>
        <v>0</v>
      </c>
    </row>
    <row r="450" spans="1:22" ht="13.5" customHeight="1" x14ac:dyDescent="0.25">
      <c r="A450" s="594"/>
      <c r="B450" s="377"/>
      <c r="C450" s="377"/>
      <c r="D450" s="443">
        <f t="shared" si="84"/>
        <v>100</v>
      </c>
      <c r="E450" s="580"/>
      <c r="F450" s="580"/>
      <c r="J450" s="26">
        <f t="shared" si="86"/>
        <v>0</v>
      </c>
      <c r="K450" s="5">
        <f t="shared" si="87"/>
        <v>0</v>
      </c>
      <c r="L450" s="5">
        <f t="shared" si="88"/>
        <v>0</v>
      </c>
      <c r="M450" s="5">
        <f t="shared" si="89"/>
        <v>0</v>
      </c>
      <c r="N450" s="5">
        <f t="shared" si="90"/>
        <v>0</v>
      </c>
      <c r="O450" s="5">
        <f t="shared" si="91"/>
        <v>0</v>
      </c>
      <c r="P450" s="5">
        <f t="shared" si="92"/>
        <v>0</v>
      </c>
      <c r="Q450" s="5">
        <f t="shared" si="93"/>
        <v>0</v>
      </c>
      <c r="R450" s="5">
        <f t="shared" si="94"/>
        <v>0</v>
      </c>
      <c r="S450" s="5">
        <f t="shared" si="95"/>
        <v>0</v>
      </c>
      <c r="T450" s="5">
        <f t="shared" si="96"/>
        <v>0</v>
      </c>
      <c r="U450" s="5">
        <f t="shared" si="97"/>
        <v>0</v>
      </c>
      <c r="V450" s="5">
        <f t="shared" si="85"/>
        <v>0</v>
      </c>
    </row>
    <row r="451" spans="1:22" ht="13.5" customHeight="1" x14ac:dyDescent="0.25">
      <c r="A451" s="594"/>
      <c r="B451" s="377"/>
      <c r="C451" s="377"/>
      <c r="D451" s="443">
        <f t="shared" si="84"/>
        <v>100</v>
      </c>
      <c r="E451" s="580"/>
      <c r="F451" s="580"/>
      <c r="J451" s="26">
        <f t="shared" si="86"/>
        <v>0</v>
      </c>
      <c r="K451" s="5">
        <f t="shared" si="87"/>
        <v>0</v>
      </c>
      <c r="L451" s="5">
        <f t="shared" si="88"/>
        <v>0</v>
      </c>
      <c r="M451" s="5">
        <f t="shared" si="89"/>
        <v>0</v>
      </c>
      <c r="N451" s="5">
        <f t="shared" si="90"/>
        <v>0</v>
      </c>
      <c r="O451" s="5">
        <f t="shared" si="91"/>
        <v>0</v>
      </c>
      <c r="P451" s="5">
        <f t="shared" si="92"/>
        <v>0</v>
      </c>
      <c r="Q451" s="5">
        <f t="shared" si="93"/>
        <v>0</v>
      </c>
      <c r="R451" s="5">
        <f t="shared" si="94"/>
        <v>0</v>
      </c>
      <c r="S451" s="5">
        <f t="shared" si="95"/>
        <v>0</v>
      </c>
      <c r="T451" s="5">
        <f t="shared" si="96"/>
        <v>0</v>
      </c>
      <c r="U451" s="5">
        <f t="shared" si="97"/>
        <v>0</v>
      </c>
      <c r="V451" s="5">
        <f t="shared" si="85"/>
        <v>0</v>
      </c>
    </row>
    <row r="452" spans="1:22" ht="13.5" customHeight="1" x14ac:dyDescent="0.25">
      <c r="A452" s="594"/>
      <c r="B452" s="377"/>
      <c r="C452" s="377"/>
      <c r="D452" s="443">
        <f t="shared" si="84"/>
        <v>100</v>
      </c>
      <c r="E452" s="580"/>
      <c r="F452" s="580"/>
      <c r="J452" s="26">
        <f t="shared" si="86"/>
        <v>0</v>
      </c>
      <c r="K452" s="5">
        <f t="shared" si="87"/>
        <v>0</v>
      </c>
      <c r="L452" s="5">
        <f t="shared" si="88"/>
        <v>0</v>
      </c>
      <c r="M452" s="5">
        <f t="shared" si="89"/>
        <v>0</v>
      </c>
      <c r="N452" s="5">
        <f t="shared" si="90"/>
        <v>0</v>
      </c>
      <c r="O452" s="5">
        <f t="shared" si="91"/>
        <v>0</v>
      </c>
      <c r="P452" s="5">
        <f t="shared" si="92"/>
        <v>0</v>
      </c>
      <c r="Q452" s="5">
        <f t="shared" si="93"/>
        <v>0</v>
      </c>
      <c r="R452" s="5">
        <f t="shared" si="94"/>
        <v>0</v>
      </c>
      <c r="S452" s="5">
        <f t="shared" si="95"/>
        <v>0</v>
      </c>
      <c r="T452" s="5">
        <f t="shared" si="96"/>
        <v>0</v>
      </c>
      <c r="U452" s="5">
        <f t="shared" si="97"/>
        <v>0</v>
      </c>
      <c r="V452" s="5">
        <f t="shared" si="85"/>
        <v>0</v>
      </c>
    </row>
    <row r="453" spans="1:22" ht="13.5" customHeight="1" x14ac:dyDescent="0.25">
      <c r="A453" s="594"/>
      <c r="B453" s="377"/>
      <c r="C453" s="377"/>
      <c r="D453" s="443">
        <f t="shared" si="84"/>
        <v>100</v>
      </c>
      <c r="E453" s="580"/>
      <c r="F453" s="580"/>
      <c r="J453" s="26">
        <f t="shared" si="86"/>
        <v>0</v>
      </c>
      <c r="K453" s="5">
        <f t="shared" si="87"/>
        <v>0</v>
      </c>
      <c r="L453" s="5">
        <f t="shared" si="88"/>
        <v>0</v>
      </c>
      <c r="M453" s="5">
        <f t="shared" si="89"/>
        <v>0</v>
      </c>
      <c r="N453" s="5">
        <f t="shared" si="90"/>
        <v>0</v>
      </c>
      <c r="O453" s="5">
        <f t="shared" si="91"/>
        <v>0</v>
      </c>
      <c r="P453" s="5">
        <f t="shared" si="92"/>
        <v>0</v>
      </c>
      <c r="Q453" s="5">
        <f t="shared" si="93"/>
        <v>0</v>
      </c>
      <c r="R453" s="5">
        <f t="shared" si="94"/>
        <v>0</v>
      </c>
      <c r="S453" s="5">
        <f t="shared" si="95"/>
        <v>0</v>
      </c>
      <c r="T453" s="5">
        <f t="shared" si="96"/>
        <v>0</v>
      </c>
      <c r="U453" s="5">
        <f t="shared" si="97"/>
        <v>0</v>
      </c>
      <c r="V453" s="5">
        <f t="shared" si="85"/>
        <v>0</v>
      </c>
    </row>
    <row r="454" spans="1:22" ht="13.5" customHeight="1" x14ac:dyDescent="0.25">
      <c r="A454" s="594"/>
      <c r="B454" s="377"/>
      <c r="C454" s="377"/>
      <c r="D454" s="443">
        <f t="shared" si="84"/>
        <v>100</v>
      </c>
      <c r="E454" s="580"/>
      <c r="F454" s="580"/>
      <c r="J454" s="26">
        <f t="shared" si="86"/>
        <v>0</v>
      </c>
      <c r="K454" s="5">
        <f t="shared" si="87"/>
        <v>0</v>
      </c>
      <c r="L454" s="5">
        <f t="shared" si="88"/>
        <v>0</v>
      </c>
      <c r="M454" s="5">
        <f t="shared" si="89"/>
        <v>0</v>
      </c>
      <c r="N454" s="5">
        <f t="shared" si="90"/>
        <v>0</v>
      </c>
      <c r="O454" s="5">
        <f t="shared" si="91"/>
        <v>0</v>
      </c>
      <c r="P454" s="5">
        <f t="shared" si="92"/>
        <v>0</v>
      </c>
      <c r="Q454" s="5">
        <f t="shared" si="93"/>
        <v>0</v>
      </c>
      <c r="R454" s="5">
        <f t="shared" si="94"/>
        <v>0</v>
      </c>
      <c r="S454" s="5">
        <f t="shared" si="95"/>
        <v>0</v>
      </c>
      <c r="T454" s="5">
        <f t="shared" si="96"/>
        <v>0</v>
      </c>
      <c r="U454" s="5">
        <f t="shared" si="97"/>
        <v>0</v>
      </c>
      <c r="V454" s="5">
        <f t="shared" si="85"/>
        <v>0</v>
      </c>
    </row>
    <row r="455" spans="1:22" ht="13.5" customHeight="1" x14ac:dyDescent="0.25">
      <c r="A455" s="594"/>
      <c r="B455" s="377"/>
      <c r="C455" s="377"/>
      <c r="D455" s="443">
        <f t="shared" si="84"/>
        <v>100</v>
      </c>
      <c r="E455" s="580"/>
      <c r="F455" s="580"/>
      <c r="J455" s="26">
        <f t="shared" si="86"/>
        <v>0</v>
      </c>
      <c r="K455" s="5">
        <f t="shared" si="87"/>
        <v>0</v>
      </c>
      <c r="L455" s="5">
        <f t="shared" si="88"/>
        <v>0</v>
      </c>
      <c r="M455" s="5">
        <f t="shared" si="89"/>
        <v>0</v>
      </c>
      <c r="N455" s="5">
        <f t="shared" si="90"/>
        <v>0</v>
      </c>
      <c r="O455" s="5">
        <f t="shared" si="91"/>
        <v>0</v>
      </c>
      <c r="P455" s="5">
        <f t="shared" si="92"/>
        <v>0</v>
      </c>
      <c r="Q455" s="5">
        <f t="shared" si="93"/>
        <v>0</v>
      </c>
      <c r="R455" s="5">
        <f t="shared" si="94"/>
        <v>0</v>
      </c>
      <c r="S455" s="5">
        <f t="shared" si="95"/>
        <v>0</v>
      </c>
      <c r="T455" s="5">
        <f t="shared" si="96"/>
        <v>0</v>
      </c>
      <c r="U455" s="5">
        <f t="shared" si="97"/>
        <v>0</v>
      </c>
      <c r="V455" s="5">
        <f t="shared" si="85"/>
        <v>0</v>
      </c>
    </row>
    <row r="456" spans="1:22" ht="13.5" customHeight="1" x14ac:dyDescent="0.25">
      <c r="A456" s="594"/>
      <c r="B456" s="377"/>
      <c r="C456" s="377"/>
      <c r="D456" s="443">
        <f t="shared" si="84"/>
        <v>100</v>
      </c>
      <c r="E456" s="580"/>
      <c r="F456" s="580"/>
      <c r="J456" s="26">
        <f t="shared" si="86"/>
        <v>0</v>
      </c>
      <c r="K456" s="5">
        <f t="shared" si="87"/>
        <v>0</v>
      </c>
      <c r="L456" s="5">
        <f t="shared" si="88"/>
        <v>0</v>
      </c>
      <c r="M456" s="5">
        <f t="shared" si="89"/>
        <v>0</v>
      </c>
      <c r="N456" s="5">
        <f t="shared" si="90"/>
        <v>0</v>
      </c>
      <c r="O456" s="5">
        <f t="shared" si="91"/>
        <v>0</v>
      </c>
      <c r="P456" s="5">
        <f t="shared" si="92"/>
        <v>0</v>
      </c>
      <c r="Q456" s="5">
        <f t="shared" si="93"/>
        <v>0</v>
      </c>
      <c r="R456" s="5">
        <f t="shared" si="94"/>
        <v>0</v>
      </c>
      <c r="S456" s="5">
        <f t="shared" si="95"/>
        <v>0</v>
      </c>
      <c r="T456" s="5">
        <f t="shared" si="96"/>
        <v>0</v>
      </c>
      <c r="U456" s="5">
        <f t="shared" si="97"/>
        <v>0</v>
      </c>
      <c r="V456" s="5">
        <f t="shared" si="85"/>
        <v>0</v>
      </c>
    </row>
    <row r="457" spans="1:22" ht="13.5" customHeight="1" x14ac:dyDescent="0.25">
      <c r="A457" s="594"/>
      <c r="B457" s="377"/>
      <c r="C457" s="377"/>
      <c r="D457" s="443">
        <f t="shared" si="84"/>
        <v>100</v>
      </c>
      <c r="E457" s="580"/>
      <c r="F457" s="580"/>
      <c r="J457" s="26">
        <f t="shared" si="86"/>
        <v>0</v>
      </c>
      <c r="K457" s="5">
        <f t="shared" si="87"/>
        <v>0</v>
      </c>
      <c r="L457" s="5">
        <f t="shared" si="88"/>
        <v>0</v>
      </c>
      <c r="M457" s="5">
        <f t="shared" si="89"/>
        <v>0</v>
      </c>
      <c r="N457" s="5">
        <f t="shared" si="90"/>
        <v>0</v>
      </c>
      <c r="O457" s="5">
        <f t="shared" si="91"/>
        <v>0</v>
      </c>
      <c r="P457" s="5">
        <f t="shared" si="92"/>
        <v>0</v>
      </c>
      <c r="Q457" s="5">
        <f t="shared" si="93"/>
        <v>0</v>
      </c>
      <c r="R457" s="5">
        <f t="shared" si="94"/>
        <v>0</v>
      </c>
      <c r="S457" s="5">
        <f t="shared" si="95"/>
        <v>0</v>
      </c>
      <c r="T457" s="5">
        <f t="shared" si="96"/>
        <v>0</v>
      </c>
      <c r="U457" s="5">
        <f t="shared" si="97"/>
        <v>0</v>
      </c>
      <c r="V457" s="5">
        <f t="shared" si="85"/>
        <v>0</v>
      </c>
    </row>
    <row r="458" spans="1:22" ht="13.5" customHeight="1" x14ac:dyDescent="0.25">
      <c r="A458" s="594"/>
      <c r="B458" s="377"/>
      <c r="C458" s="377"/>
      <c r="D458" s="443">
        <f t="shared" si="84"/>
        <v>100</v>
      </c>
      <c r="E458" s="580"/>
      <c r="F458" s="580"/>
      <c r="J458" s="26">
        <f t="shared" si="86"/>
        <v>0</v>
      </c>
      <c r="K458" s="5">
        <f t="shared" si="87"/>
        <v>0</v>
      </c>
      <c r="L458" s="5">
        <f t="shared" si="88"/>
        <v>0</v>
      </c>
      <c r="M458" s="5">
        <f t="shared" si="89"/>
        <v>0</v>
      </c>
      <c r="N458" s="5">
        <f t="shared" si="90"/>
        <v>0</v>
      </c>
      <c r="O458" s="5">
        <f t="shared" si="91"/>
        <v>0</v>
      </c>
      <c r="P458" s="5">
        <f t="shared" si="92"/>
        <v>0</v>
      </c>
      <c r="Q458" s="5">
        <f t="shared" si="93"/>
        <v>0</v>
      </c>
      <c r="R458" s="5">
        <f t="shared" si="94"/>
        <v>0</v>
      </c>
      <c r="S458" s="5">
        <f t="shared" si="95"/>
        <v>0</v>
      </c>
      <c r="T458" s="5">
        <f t="shared" si="96"/>
        <v>0</v>
      </c>
      <c r="U458" s="5">
        <f t="shared" si="97"/>
        <v>0</v>
      </c>
      <c r="V458" s="5">
        <f t="shared" si="85"/>
        <v>0</v>
      </c>
    </row>
    <row r="459" spans="1:22" ht="13.5" customHeight="1" x14ac:dyDescent="0.25">
      <c r="A459" s="594"/>
      <c r="B459" s="377"/>
      <c r="C459" s="377"/>
      <c r="D459" s="443">
        <f t="shared" si="84"/>
        <v>100</v>
      </c>
      <c r="E459" s="580"/>
      <c r="F459" s="580"/>
      <c r="J459" s="26">
        <f t="shared" si="86"/>
        <v>0</v>
      </c>
      <c r="K459" s="5">
        <f t="shared" si="87"/>
        <v>0</v>
      </c>
      <c r="L459" s="5">
        <f t="shared" si="88"/>
        <v>0</v>
      </c>
      <c r="M459" s="5">
        <f t="shared" si="89"/>
        <v>0</v>
      </c>
      <c r="N459" s="5">
        <f t="shared" si="90"/>
        <v>0</v>
      </c>
      <c r="O459" s="5">
        <f t="shared" si="91"/>
        <v>0</v>
      </c>
      <c r="P459" s="5">
        <f t="shared" si="92"/>
        <v>0</v>
      </c>
      <c r="Q459" s="5">
        <f t="shared" si="93"/>
        <v>0</v>
      </c>
      <c r="R459" s="5">
        <f t="shared" si="94"/>
        <v>0</v>
      </c>
      <c r="S459" s="5">
        <f t="shared" si="95"/>
        <v>0</v>
      </c>
      <c r="T459" s="5">
        <f t="shared" si="96"/>
        <v>0</v>
      </c>
      <c r="U459" s="5">
        <f t="shared" si="97"/>
        <v>0</v>
      </c>
      <c r="V459" s="5">
        <f t="shared" si="85"/>
        <v>0</v>
      </c>
    </row>
    <row r="460" spans="1:22" ht="13.5" customHeight="1" x14ac:dyDescent="0.25">
      <c r="A460" s="594"/>
      <c r="B460" s="377"/>
      <c r="C460" s="377"/>
      <c r="D460" s="443">
        <f t="shared" si="84"/>
        <v>100</v>
      </c>
      <c r="E460" s="580"/>
      <c r="F460" s="580"/>
      <c r="J460" s="26">
        <f t="shared" si="86"/>
        <v>0</v>
      </c>
      <c r="K460" s="5">
        <f t="shared" si="87"/>
        <v>0</v>
      </c>
      <c r="L460" s="5">
        <f t="shared" si="88"/>
        <v>0</v>
      </c>
      <c r="M460" s="5">
        <f t="shared" si="89"/>
        <v>0</v>
      </c>
      <c r="N460" s="5">
        <f t="shared" si="90"/>
        <v>0</v>
      </c>
      <c r="O460" s="5">
        <f t="shared" si="91"/>
        <v>0</v>
      </c>
      <c r="P460" s="5">
        <f t="shared" si="92"/>
        <v>0</v>
      </c>
      <c r="Q460" s="5">
        <f t="shared" si="93"/>
        <v>0</v>
      </c>
      <c r="R460" s="5">
        <f t="shared" si="94"/>
        <v>0</v>
      </c>
      <c r="S460" s="5">
        <f t="shared" si="95"/>
        <v>0</v>
      </c>
      <c r="T460" s="5">
        <f t="shared" si="96"/>
        <v>0</v>
      </c>
      <c r="U460" s="5">
        <f t="shared" si="97"/>
        <v>0</v>
      </c>
      <c r="V460" s="5">
        <f t="shared" si="85"/>
        <v>0</v>
      </c>
    </row>
    <row r="461" spans="1:22" ht="13.5" customHeight="1" x14ac:dyDescent="0.25">
      <c r="A461" s="594"/>
      <c r="B461" s="377"/>
      <c r="C461" s="377"/>
      <c r="D461" s="443">
        <f t="shared" si="84"/>
        <v>100</v>
      </c>
      <c r="E461" s="580"/>
      <c r="F461" s="580"/>
      <c r="J461" s="26">
        <f t="shared" si="86"/>
        <v>0</v>
      </c>
      <c r="K461" s="5">
        <f t="shared" si="87"/>
        <v>0</v>
      </c>
      <c r="L461" s="5">
        <f t="shared" si="88"/>
        <v>0</v>
      </c>
      <c r="M461" s="5">
        <f t="shared" si="89"/>
        <v>0</v>
      </c>
      <c r="N461" s="5">
        <f t="shared" si="90"/>
        <v>0</v>
      </c>
      <c r="O461" s="5">
        <f t="shared" si="91"/>
        <v>0</v>
      </c>
      <c r="P461" s="5">
        <f t="shared" si="92"/>
        <v>0</v>
      </c>
      <c r="Q461" s="5">
        <f t="shared" si="93"/>
        <v>0</v>
      </c>
      <c r="R461" s="5">
        <f t="shared" si="94"/>
        <v>0</v>
      </c>
      <c r="S461" s="5">
        <f t="shared" si="95"/>
        <v>0</v>
      </c>
      <c r="T461" s="5">
        <f t="shared" si="96"/>
        <v>0</v>
      </c>
      <c r="U461" s="5">
        <f t="shared" si="97"/>
        <v>0</v>
      </c>
      <c r="V461" s="5">
        <f t="shared" si="85"/>
        <v>0</v>
      </c>
    </row>
    <row r="462" spans="1:22" ht="13.5" customHeight="1" x14ac:dyDescent="0.25">
      <c r="A462" s="594"/>
      <c r="B462" s="377"/>
      <c r="C462" s="377"/>
      <c r="D462" s="443">
        <f t="shared" si="84"/>
        <v>100</v>
      </c>
      <c r="E462" s="580"/>
      <c r="F462" s="580"/>
      <c r="J462" s="26">
        <f t="shared" si="86"/>
        <v>0</v>
      </c>
      <c r="K462" s="5">
        <f t="shared" si="87"/>
        <v>0</v>
      </c>
      <c r="L462" s="5">
        <f t="shared" si="88"/>
        <v>0</v>
      </c>
      <c r="M462" s="5">
        <f t="shared" si="89"/>
        <v>0</v>
      </c>
      <c r="N462" s="5">
        <f t="shared" si="90"/>
        <v>0</v>
      </c>
      <c r="O462" s="5">
        <f t="shared" si="91"/>
        <v>0</v>
      </c>
      <c r="P462" s="5">
        <f t="shared" si="92"/>
        <v>0</v>
      </c>
      <c r="Q462" s="5">
        <f t="shared" si="93"/>
        <v>0</v>
      </c>
      <c r="R462" s="5">
        <f t="shared" si="94"/>
        <v>0</v>
      </c>
      <c r="S462" s="5">
        <f t="shared" si="95"/>
        <v>0</v>
      </c>
      <c r="T462" s="5">
        <f t="shared" si="96"/>
        <v>0</v>
      </c>
      <c r="U462" s="5">
        <f t="shared" si="97"/>
        <v>0</v>
      </c>
      <c r="V462" s="5">
        <f t="shared" si="85"/>
        <v>0</v>
      </c>
    </row>
    <row r="463" spans="1:22" ht="13.5" customHeight="1" x14ac:dyDescent="0.25">
      <c r="A463" s="594"/>
      <c r="B463" s="377"/>
      <c r="C463" s="377"/>
      <c r="D463" s="443">
        <f t="shared" si="84"/>
        <v>100</v>
      </c>
      <c r="E463" s="580"/>
      <c r="F463" s="580"/>
      <c r="J463" s="26">
        <f t="shared" si="86"/>
        <v>0</v>
      </c>
      <c r="K463" s="5">
        <f t="shared" si="87"/>
        <v>0</v>
      </c>
      <c r="L463" s="5">
        <f t="shared" si="88"/>
        <v>0</v>
      </c>
      <c r="M463" s="5">
        <f t="shared" si="89"/>
        <v>0</v>
      </c>
      <c r="N463" s="5">
        <f t="shared" si="90"/>
        <v>0</v>
      </c>
      <c r="O463" s="5">
        <f t="shared" si="91"/>
        <v>0</v>
      </c>
      <c r="P463" s="5">
        <f t="shared" si="92"/>
        <v>0</v>
      </c>
      <c r="Q463" s="5">
        <f t="shared" si="93"/>
        <v>0</v>
      </c>
      <c r="R463" s="5">
        <f t="shared" si="94"/>
        <v>0</v>
      </c>
      <c r="S463" s="5">
        <f t="shared" si="95"/>
        <v>0</v>
      </c>
      <c r="T463" s="5">
        <f t="shared" si="96"/>
        <v>0</v>
      </c>
      <c r="U463" s="5">
        <f t="shared" si="97"/>
        <v>0</v>
      </c>
      <c r="V463" s="5">
        <f t="shared" si="85"/>
        <v>0</v>
      </c>
    </row>
    <row r="464" spans="1:22" ht="13.5" customHeight="1" x14ac:dyDescent="0.25">
      <c r="A464" s="594"/>
      <c r="B464" s="377"/>
      <c r="C464" s="377"/>
      <c r="D464" s="443">
        <f t="shared" si="84"/>
        <v>100</v>
      </c>
      <c r="E464" s="580"/>
      <c r="F464" s="580"/>
      <c r="J464" s="26">
        <f t="shared" si="86"/>
        <v>0</v>
      </c>
      <c r="K464" s="5">
        <f t="shared" si="87"/>
        <v>0</v>
      </c>
      <c r="L464" s="5">
        <f t="shared" si="88"/>
        <v>0</v>
      </c>
      <c r="M464" s="5">
        <f t="shared" si="89"/>
        <v>0</v>
      </c>
      <c r="N464" s="5">
        <f t="shared" si="90"/>
        <v>0</v>
      </c>
      <c r="O464" s="5">
        <f t="shared" si="91"/>
        <v>0</v>
      </c>
      <c r="P464" s="5">
        <f t="shared" si="92"/>
        <v>0</v>
      </c>
      <c r="Q464" s="5">
        <f t="shared" si="93"/>
        <v>0</v>
      </c>
      <c r="R464" s="5">
        <f t="shared" si="94"/>
        <v>0</v>
      </c>
      <c r="S464" s="5">
        <f t="shared" si="95"/>
        <v>0</v>
      </c>
      <c r="T464" s="5">
        <f t="shared" si="96"/>
        <v>0</v>
      </c>
      <c r="U464" s="5">
        <f t="shared" si="97"/>
        <v>0</v>
      </c>
      <c r="V464" s="5">
        <f t="shared" si="85"/>
        <v>0</v>
      </c>
    </row>
    <row r="465" spans="1:22" ht="13.5" customHeight="1" x14ac:dyDescent="0.25">
      <c r="A465" s="594"/>
      <c r="B465" s="377"/>
      <c r="C465" s="377"/>
      <c r="D465" s="443">
        <f t="shared" si="84"/>
        <v>100</v>
      </c>
      <c r="E465" s="580"/>
      <c r="F465" s="580"/>
      <c r="J465" s="26">
        <f t="shared" si="86"/>
        <v>0</v>
      </c>
      <c r="K465" s="5">
        <f t="shared" si="87"/>
        <v>0</v>
      </c>
      <c r="L465" s="5">
        <f t="shared" si="88"/>
        <v>0</v>
      </c>
      <c r="M465" s="5">
        <f t="shared" si="89"/>
        <v>0</v>
      </c>
      <c r="N465" s="5">
        <f t="shared" si="90"/>
        <v>0</v>
      </c>
      <c r="O465" s="5">
        <f t="shared" si="91"/>
        <v>0</v>
      </c>
      <c r="P465" s="5">
        <f t="shared" si="92"/>
        <v>0</v>
      </c>
      <c r="Q465" s="5">
        <f t="shared" si="93"/>
        <v>0</v>
      </c>
      <c r="R465" s="5">
        <f t="shared" si="94"/>
        <v>0</v>
      </c>
      <c r="S465" s="5">
        <f t="shared" si="95"/>
        <v>0</v>
      </c>
      <c r="T465" s="5">
        <f t="shared" si="96"/>
        <v>0</v>
      </c>
      <c r="U465" s="5">
        <f t="shared" si="97"/>
        <v>0</v>
      </c>
      <c r="V465" s="5">
        <f t="shared" si="85"/>
        <v>0</v>
      </c>
    </row>
    <row r="466" spans="1:22" ht="13.5" customHeight="1" x14ac:dyDescent="0.25">
      <c r="A466" s="594"/>
      <c r="B466" s="377"/>
      <c r="C466" s="377"/>
      <c r="D466" s="443">
        <f t="shared" si="84"/>
        <v>100</v>
      </c>
      <c r="E466" s="580"/>
      <c r="F466" s="580"/>
      <c r="J466" s="26">
        <f t="shared" si="86"/>
        <v>0</v>
      </c>
      <c r="K466" s="5">
        <f t="shared" si="87"/>
        <v>0</v>
      </c>
      <c r="L466" s="5">
        <f t="shared" si="88"/>
        <v>0</v>
      </c>
      <c r="M466" s="5">
        <f t="shared" si="89"/>
        <v>0</v>
      </c>
      <c r="N466" s="5">
        <f t="shared" si="90"/>
        <v>0</v>
      </c>
      <c r="O466" s="5">
        <f t="shared" si="91"/>
        <v>0</v>
      </c>
      <c r="P466" s="5">
        <f t="shared" si="92"/>
        <v>0</v>
      </c>
      <c r="Q466" s="5">
        <f t="shared" si="93"/>
        <v>0</v>
      </c>
      <c r="R466" s="5">
        <f t="shared" si="94"/>
        <v>0</v>
      </c>
      <c r="S466" s="5">
        <f t="shared" si="95"/>
        <v>0</v>
      </c>
      <c r="T466" s="5">
        <f t="shared" si="96"/>
        <v>0</v>
      </c>
      <c r="U466" s="5">
        <f t="shared" si="97"/>
        <v>0</v>
      </c>
      <c r="V466" s="5">
        <f t="shared" si="85"/>
        <v>0</v>
      </c>
    </row>
    <row r="467" spans="1:22" ht="13.5" customHeight="1" x14ac:dyDescent="0.25">
      <c r="A467" s="594"/>
      <c r="B467" s="377"/>
      <c r="C467" s="377"/>
      <c r="D467" s="443">
        <f t="shared" si="84"/>
        <v>100</v>
      </c>
      <c r="E467" s="580"/>
      <c r="F467" s="580"/>
      <c r="J467" s="26">
        <f t="shared" si="86"/>
        <v>0</v>
      </c>
      <c r="K467" s="5">
        <f t="shared" si="87"/>
        <v>0</v>
      </c>
      <c r="L467" s="5">
        <f t="shared" si="88"/>
        <v>0</v>
      </c>
      <c r="M467" s="5">
        <f t="shared" si="89"/>
        <v>0</v>
      </c>
      <c r="N467" s="5">
        <f t="shared" si="90"/>
        <v>0</v>
      </c>
      <c r="O467" s="5">
        <f t="shared" si="91"/>
        <v>0</v>
      </c>
      <c r="P467" s="5">
        <f t="shared" si="92"/>
        <v>0</v>
      </c>
      <c r="Q467" s="5">
        <f t="shared" si="93"/>
        <v>0</v>
      </c>
      <c r="R467" s="5">
        <f t="shared" si="94"/>
        <v>0</v>
      </c>
      <c r="S467" s="5">
        <f t="shared" si="95"/>
        <v>0</v>
      </c>
      <c r="T467" s="5">
        <f t="shared" si="96"/>
        <v>0</v>
      </c>
      <c r="U467" s="5">
        <f t="shared" si="97"/>
        <v>0</v>
      </c>
      <c r="V467" s="5">
        <f t="shared" si="85"/>
        <v>0</v>
      </c>
    </row>
    <row r="468" spans="1:22" ht="13.5" customHeight="1" x14ac:dyDescent="0.25">
      <c r="A468" s="594"/>
      <c r="B468" s="377"/>
      <c r="C468" s="377"/>
      <c r="D468" s="443">
        <f t="shared" si="84"/>
        <v>100</v>
      </c>
      <c r="E468" s="580"/>
      <c r="F468" s="580"/>
      <c r="J468" s="26">
        <f t="shared" si="86"/>
        <v>0</v>
      </c>
      <c r="K468" s="5">
        <f t="shared" si="87"/>
        <v>0</v>
      </c>
      <c r="L468" s="5">
        <f t="shared" si="88"/>
        <v>0</v>
      </c>
      <c r="M468" s="5">
        <f t="shared" si="89"/>
        <v>0</v>
      </c>
      <c r="N468" s="5">
        <f t="shared" si="90"/>
        <v>0</v>
      </c>
      <c r="O468" s="5">
        <f t="shared" si="91"/>
        <v>0</v>
      </c>
      <c r="P468" s="5">
        <f t="shared" si="92"/>
        <v>0</v>
      </c>
      <c r="Q468" s="5">
        <f t="shared" si="93"/>
        <v>0</v>
      </c>
      <c r="R468" s="5">
        <f t="shared" si="94"/>
        <v>0</v>
      </c>
      <c r="S468" s="5">
        <f t="shared" si="95"/>
        <v>0</v>
      </c>
      <c r="T468" s="5">
        <f t="shared" si="96"/>
        <v>0</v>
      </c>
      <c r="U468" s="5">
        <f t="shared" si="97"/>
        <v>0</v>
      </c>
      <c r="V468" s="5">
        <f t="shared" si="85"/>
        <v>0</v>
      </c>
    </row>
    <row r="469" spans="1:22" ht="13.5" customHeight="1" x14ac:dyDescent="0.25">
      <c r="A469" s="594"/>
      <c r="B469" s="377"/>
      <c r="C469" s="377"/>
      <c r="D469" s="443">
        <f t="shared" si="84"/>
        <v>100</v>
      </c>
      <c r="E469" s="580"/>
      <c r="F469" s="580"/>
      <c r="J469" s="26">
        <f t="shared" si="86"/>
        <v>0</v>
      </c>
      <c r="K469" s="5">
        <f t="shared" si="87"/>
        <v>0</v>
      </c>
      <c r="L469" s="5">
        <f t="shared" si="88"/>
        <v>0</v>
      </c>
      <c r="M469" s="5">
        <f t="shared" si="89"/>
        <v>0</v>
      </c>
      <c r="N469" s="5">
        <f t="shared" si="90"/>
        <v>0</v>
      </c>
      <c r="O469" s="5">
        <f t="shared" si="91"/>
        <v>0</v>
      </c>
      <c r="P469" s="5">
        <f t="shared" si="92"/>
        <v>0</v>
      </c>
      <c r="Q469" s="5">
        <f t="shared" si="93"/>
        <v>0</v>
      </c>
      <c r="R469" s="5">
        <f t="shared" si="94"/>
        <v>0</v>
      </c>
      <c r="S469" s="5">
        <f t="shared" si="95"/>
        <v>0</v>
      </c>
      <c r="T469" s="5">
        <f t="shared" si="96"/>
        <v>0</v>
      </c>
      <c r="U469" s="5">
        <f t="shared" si="97"/>
        <v>0</v>
      </c>
      <c r="V469" s="5">
        <f t="shared" si="85"/>
        <v>0</v>
      </c>
    </row>
    <row r="470" spans="1:22" ht="13.5" customHeight="1" x14ac:dyDescent="0.25">
      <c r="A470" s="594"/>
      <c r="B470" s="377"/>
      <c r="C470" s="377"/>
      <c r="D470" s="443">
        <f t="shared" si="84"/>
        <v>100</v>
      </c>
      <c r="E470" s="580"/>
      <c r="F470" s="580"/>
      <c r="J470" s="26">
        <f t="shared" si="86"/>
        <v>0</v>
      </c>
      <c r="K470" s="5">
        <f t="shared" si="87"/>
        <v>0</v>
      </c>
      <c r="L470" s="5">
        <f t="shared" si="88"/>
        <v>0</v>
      </c>
      <c r="M470" s="5">
        <f t="shared" si="89"/>
        <v>0</v>
      </c>
      <c r="N470" s="5">
        <f t="shared" si="90"/>
        <v>0</v>
      </c>
      <c r="O470" s="5">
        <f t="shared" si="91"/>
        <v>0</v>
      </c>
      <c r="P470" s="5">
        <f t="shared" si="92"/>
        <v>0</v>
      </c>
      <c r="Q470" s="5">
        <f t="shared" si="93"/>
        <v>0</v>
      </c>
      <c r="R470" s="5">
        <f t="shared" si="94"/>
        <v>0</v>
      </c>
      <c r="S470" s="5">
        <f t="shared" si="95"/>
        <v>0</v>
      </c>
      <c r="T470" s="5">
        <f t="shared" si="96"/>
        <v>0</v>
      </c>
      <c r="U470" s="5">
        <f t="shared" si="97"/>
        <v>0</v>
      </c>
      <c r="V470" s="5">
        <f t="shared" si="85"/>
        <v>0</v>
      </c>
    </row>
    <row r="471" spans="1:22" ht="13.5" customHeight="1" x14ac:dyDescent="0.25">
      <c r="A471" s="594"/>
      <c r="B471" s="377"/>
      <c r="C471" s="377"/>
      <c r="D471" s="443">
        <f t="shared" si="84"/>
        <v>100</v>
      </c>
      <c r="E471" s="580"/>
      <c r="F471" s="580"/>
      <c r="J471" s="26">
        <f t="shared" si="86"/>
        <v>0</v>
      </c>
      <c r="K471" s="5">
        <f t="shared" si="87"/>
        <v>0</v>
      </c>
      <c r="L471" s="5">
        <f t="shared" si="88"/>
        <v>0</v>
      </c>
      <c r="M471" s="5">
        <f t="shared" si="89"/>
        <v>0</v>
      </c>
      <c r="N471" s="5">
        <f t="shared" si="90"/>
        <v>0</v>
      </c>
      <c r="O471" s="5">
        <f t="shared" si="91"/>
        <v>0</v>
      </c>
      <c r="P471" s="5">
        <f t="shared" si="92"/>
        <v>0</v>
      </c>
      <c r="Q471" s="5">
        <f t="shared" si="93"/>
        <v>0</v>
      </c>
      <c r="R471" s="5">
        <f t="shared" si="94"/>
        <v>0</v>
      </c>
      <c r="S471" s="5">
        <f t="shared" si="95"/>
        <v>0</v>
      </c>
      <c r="T471" s="5">
        <f t="shared" si="96"/>
        <v>0</v>
      </c>
      <c r="U471" s="5">
        <f t="shared" si="97"/>
        <v>0</v>
      </c>
      <c r="V471" s="5">
        <f t="shared" si="85"/>
        <v>0</v>
      </c>
    </row>
    <row r="472" spans="1:22" ht="13.5" customHeight="1" x14ac:dyDescent="0.25">
      <c r="A472" s="594"/>
      <c r="B472" s="377"/>
      <c r="C472" s="377"/>
      <c r="D472" s="443">
        <f t="shared" si="84"/>
        <v>100</v>
      </c>
      <c r="E472" s="580"/>
      <c r="F472" s="580"/>
      <c r="J472" s="26">
        <f t="shared" si="86"/>
        <v>0</v>
      </c>
      <c r="K472" s="5">
        <f t="shared" si="87"/>
        <v>0</v>
      </c>
      <c r="L472" s="5">
        <f t="shared" si="88"/>
        <v>0</v>
      </c>
      <c r="M472" s="5">
        <f t="shared" si="89"/>
        <v>0</v>
      </c>
      <c r="N472" s="5">
        <f t="shared" si="90"/>
        <v>0</v>
      </c>
      <c r="O472" s="5">
        <f t="shared" si="91"/>
        <v>0</v>
      </c>
      <c r="P472" s="5">
        <f t="shared" si="92"/>
        <v>0</v>
      </c>
      <c r="Q472" s="5">
        <f t="shared" si="93"/>
        <v>0</v>
      </c>
      <c r="R472" s="5">
        <f t="shared" si="94"/>
        <v>0</v>
      </c>
      <c r="S472" s="5">
        <f t="shared" si="95"/>
        <v>0</v>
      </c>
      <c r="T472" s="5">
        <f t="shared" si="96"/>
        <v>0</v>
      </c>
      <c r="U472" s="5">
        <f t="shared" si="97"/>
        <v>0</v>
      </c>
      <c r="V472" s="5">
        <f t="shared" si="85"/>
        <v>0</v>
      </c>
    </row>
    <row r="473" spans="1:22" ht="13.5" customHeight="1" x14ac:dyDescent="0.25">
      <c r="A473" s="594"/>
      <c r="B473" s="377"/>
      <c r="C473" s="377"/>
      <c r="D473" s="443">
        <f t="shared" si="84"/>
        <v>100</v>
      </c>
      <c r="E473" s="580"/>
      <c r="F473" s="580"/>
      <c r="J473" s="26">
        <f t="shared" si="86"/>
        <v>0</v>
      </c>
      <c r="K473" s="5">
        <f t="shared" si="87"/>
        <v>0</v>
      </c>
      <c r="L473" s="5">
        <f t="shared" si="88"/>
        <v>0</v>
      </c>
      <c r="M473" s="5">
        <f t="shared" si="89"/>
        <v>0</v>
      </c>
      <c r="N473" s="5">
        <f t="shared" si="90"/>
        <v>0</v>
      </c>
      <c r="O473" s="5">
        <f t="shared" si="91"/>
        <v>0</v>
      </c>
      <c r="P473" s="5">
        <f t="shared" si="92"/>
        <v>0</v>
      </c>
      <c r="Q473" s="5">
        <f t="shared" si="93"/>
        <v>0</v>
      </c>
      <c r="R473" s="5">
        <f t="shared" si="94"/>
        <v>0</v>
      </c>
      <c r="S473" s="5">
        <f t="shared" si="95"/>
        <v>0</v>
      </c>
      <c r="T473" s="5">
        <f t="shared" si="96"/>
        <v>0</v>
      </c>
      <c r="U473" s="5">
        <f t="shared" si="97"/>
        <v>0</v>
      </c>
      <c r="V473" s="5">
        <f t="shared" si="85"/>
        <v>0</v>
      </c>
    </row>
    <row r="474" spans="1:22" ht="13.5" customHeight="1" x14ac:dyDescent="0.25">
      <c r="A474" s="594"/>
      <c r="B474" s="377"/>
      <c r="C474" s="377"/>
      <c r="D474" s="443">
        <f t="shared" ref="D474:D503" si="98">B474-C474+D473</f>
        <v>100</v>
      </c>
      <c r="E474" s="580"/>
      <c r="F474" s="580"/>
      <c r="J474" s="26">
        <f t="shared" si="86"/>
        <v>0</v>
      </c>
      <c r="K474" s="5">
        <f t="shared" si="87"/>
        <v>0</v>
      </c>
      <c r="L474" s="5">
        <f t="shared" si="88"/>
        <v>0</v>
      </c>
      <c r="M474" s="5">
        <f t="shared" si="89"/>
        <v>0</v>
      </c>
      <c r="N474" s="5">
        <f t="shared" si="90"/>
        <v>0</v>
      </c>
      <c r="O474" s="5">
        <f t="shared" si="91"/>
        <v>0</v>
      </c>
      <c r="P474" s="5">
        <f t="shared" si="92"/>
        <v>0</v>
      </c>
      <c r="Q474" s="5">
        <f t="shared" si="93"/>
        <v>0</v>
      </c>
      <c r="R474" s="5">
        <f t="shared" si="94"/>
        <v>0</v>
      </c>
      <c r="S474" s="5">
        <f t="shared" si="95"/>
        <v>0</v>
      </c>
      <c r="T474" s="5">
        <f t="shared" si="96"/>
        <v>0</v>
      </c>
      <c r="U474" s="5">
        <f t="shared" si="97"/>
        <v>0</v>
      </c>
      <c r="V474" s="5">
        <f t="shared" ref="V474:V503" si="99">IF(E474="Catch Up XP",C474,0)</f>
        <v>0</v>
      </c>
    </row>
    <row r="475" spans="1:22" ht="13.5" customHeight="1" x14ac:dyDescent="0.25">
      <c r="A475" s="594"/>
      <c r="B475" s="377"/>
      <c r="C475" s="377"/>
      <c r="D475" s="443">
        <f t="shared" si="98"/>
        <v>100</v>
      </c>
      <c r="E475" s="580"/>
      <c r="F475" s="580"/>
      <c r="J475" s="26">
        <f t="shared" ref="J475:J503" si="100">IF(E475="Attributes",C475,0)</f>
        <v>0</v>
      </c>
      <c r="K475" s="5">
        <f t="shared" ref="K475:K503" si="101">IF(E475="Skills",C475,0)</f>
        <v>0</v>
      </c>
      <c r="L475" s="5">
        <f t="shared" ref="L475:L503" si="102">IF(E475="Specialization",C475,0)</f>
        <v>0</v>
      </c>
      <c r="M475" s="5">
        <f t="shared" ref="M475:M503" si="103">IF(E475="Blood Potency",C475,0)</f>
        <v>0</v>
      </c>
      <c r="N475" s="5">
        <f t="shared" ref="N475:N503" si="104">IF(E475="Merits",C475,0)</f>
        <v>0</v>
      </c>
      <c r="O475" s="5">
        <f t="shared" ref="O475:O503" si="105">IF(E475="Lost Merits",C475,0)</f>
        <v>0</v>
      </c>
      <c r="P475" s="5">
        <f t="shared" ref="P475:P503" si="106">IF(E475="Disciplines",C475,0)</f>
        <v>0</v>
      </c>
      <c r="Q475" s="5">
        <f t="shared" ref="Q475:Q503" si="107">IF(E475="Rituals",C475,0)</f>
        <v>0</v>
      </c>
      <c r="R475" s="5">
        <f t="shared" ref="R475:R503" si="108">IF(E475="Devotions",C475,0)</f>
        <v>0</v>
      </c>
      <c r="S475" s="5">
        <f t="shared" ref="S475:S503" si="109">IF(E475="Willpower",C475,0)</f>
        <v>0</v>
      </c>
      <c r="T475" s="5">
        <f t="shared" ref="T475:T503" si="110">IF(E475="Humanity",C475,0)</f>
        <v>0</v>
      </c>
      <c r="U475" s="5">
        <f t="shared" ref="U475:U503" si="111">IF(E475="Oaths",C475,0)</f>
        <v>0</v>
      </c>
      <c r="V475" s="5">
        <f t="shared" si="99"/>
        <v>0</v>
      </c>
    </row>
    <row r="476" spans="1:22" ht="13.5" customHeight="1" x14ac:dyDescent="0.25">
      <c r="A476" s="594"/>
      <c r="B476" s="377"/>
      <c r="C476" s="377"/>
      <c r="D476" s="443">
        <f t="shared" si="98"/>
        <v>100</v>
      </c>
      <c r="E476" s="580"/>
      <c r="F476" s="580"/>
      <c r="J476" s="26">
        <f t="shared" si="100"/>
        <v>0</v>
      </c>
      <c r="K476" s="5">
        <f t="shared" si="101"/>
        <v>0</v>
      </c>
      <c r="L476" s="5">
        <f t="shared" si="102"/>
        <v>0</v>
      </c>
      <c r="M476" s="5">
        <f t="shared" si="103"/>
        <v>0</v>
      </c>
      <c r="N476" s="5">
        <f t="shared" si="104"/>
        <v>0</v>
      </c>
      <c r="O476" s="5">
        <f t="shared" si="105"/>
        <v>0</v>
      </c>
      <c r="P476" s="5">
        <f t="shared" si="106"/>
        <v>0</v>
      </c>
      <c r="Q476" s="5">
        <f t="shared" si="107"/>
        <v>0</v>
      </c>
      <c r="R476" s="5">
        <f t="shared" si="108"/>
        <v>0</v>
      </c>
      <c r="S476" s="5">
        <f t="shared" si="109"/>
        <v>0</v>
      </c>
      <c r="T476" s="5">
        <f t="shared" si="110"/>
        <v>0</v>
      </c>
      <c r="U476" s="5">
        <f t="shared" si="111"/>
        <v>0</v>
      </c>
      <c r="V476" s="5">
        <f t="shared" si="99"/>
        <v>0</v>
      </c>
    </row>
    <row r="477" spans="1:22" ht="13.5" customHeight="1" x14ac:dyDescent="0.25">
      <c r="A477" s="594"/>
      <c r="B477" s="377"/>
      <c r="C477" s="377"/>
      <c r="D477" s="443">
        <f t="shared" si="98"/>
        <v>100</v>
      </c>
      <c r="E477" s="580"/>
      <c r="F477" s="580"/>
      <c r="J477" s="26">
        <f t="shared" si="100"/>
        <v>0</v>
      </c>
      <c r="K477" s="5">
        <f t="shared" si="101"/>
        <v>0</v>
      </c>
      <c r="L477" s="5">
        <f t="shared" si="102"/>
        <v>0</v>
      </c>
      <c r="M477" s="5">
        <f t="shared" si="103"/>
        <v>0</v>
      </c>
      <c r="N477" s="5">
        <f t="shared" si="104"/>
        <v>0</v>
      </c>
      <c r="O477" s="5">
        <f t="shared" si="105"/>
        <v>0</v>
      </c>
      <c r="P477" s="5">
        <f t="shared" si="106"/>
        <v>0</v>
      </c>
      <c r="Q477" s="5">
        <f t="shared" si="107"/>
        <v>0</v>
      </c>
      <c r="R477" s="5">
        <f t="shared" si="108"/>
        <v>0</v>
      </c>
      <c r="S477" s="5">
        <f t="shared" si="109"/>
        <v>0</v>
      </c>
      <c r="T477" s="5">
        <f t="shared" si="110"/>
        <v>0</v>
      </c>
      <c r="U477" s="5">
        <f t="shared" si="111"/>
        <v>0</v>
      </c>
      <c r="V477" s="5">
        <f t="shared" si="99"/>
        <v>0</v>
      </c>
    </row>
    <row r="478" spans="1:22" ht="13.5" customHeight="1" x14ac:dyDescent="0.25">
      <c r="A478" s="594"/>
      <c r="B478" s="377"/>
      <c r="C478" s="377"/>
      <c r="D478" s="443">
        <f t="shared" si="98"/>
        <v>100</v>
      </c>
      <c r="E478" s="580"/>
      <c r="F478" s="580"/>
      <c r="J478" s="26">
        <f t="shared" si="100"/>
        <v>0</v>
      </c>
      <c r="K478" s="5">
        <f t="shared" si="101"/>
        <v>0</v>
      </c>
      <c r="L478" s="5">
        <f t="shared" si="102"/>
        <v>0</v>
      </c>
      <c r="M478" s="5">
        <f t="shared" si="103"/>
        <v>0</v>
      </c>
      <c r="N478" s="5">
        <f t="shared" si="104"/>
        <v>0</v>
      </c>
      <c r="O478" s="5">
        <f t="shared" si="105"/>
        <v>0</v>
      </c>
      <c r="P478" s="5">
        <f t="shared" si="106"/>
        <v>0</v>
      </c>
      <c r="Q478" s="5">
        <f t="shared" si="107"/>
        <v>0</v>
      </c>
      <c r="R478" s="5">
        <f t="shared" si="108"/>
        <v>0</v>
      </c>
      <c r="S478" s="5">
        <f t="shared" si="109"/>
        <v>0</v>
      </c>
      <c r="T478" s="5">
        <f t="shared" si="110"/>
        <v>0</v>
      </c>
      <c r="U478" s="5">
        <f t="shared" si="111"/>
        <v>0</v>
      </c>
      <c r="V478" s="5">
        <f t="shared" si="99"/>
        <v>0</v>
      </c>
    </row>
    <row r="479" spans="1:22" ht="13.5" customHeight="1" x14ac:dyDescent="0.25">
      <c r="A479" s="594"/>
      <c r="B479" s="377"/>
      <c r="C479" s="377"/>
      <c r="D479" s="443">
        <f t="shared" si="98"/>
        <v>100</v>
      </c>
      <c r="E479" s="580"/>
      <c r="F479" s="580"/>
      <c r="J479" s="26">
        <f t="shared" si="100"/>
        <v>0</v>
      </c>
      <c r="K479" s="5">
        <f t="shared" si="101"/>
        <v>0</v>
      </c>
      <c r="L479" s="5">
        <f t="shared" si="102"/>
        <v>0</v>
      </c>
      <c r="M479" s="5">
        <f t="shared" si="103"/>
        <v>0</v>
      </c>
      <c r="N479" s="5">
        <f t="shared" si="104"/>
        <v>0</v>
      </c>
      <c r="O479" s="5">
        <f t="shared" si="105"/>
        <v>0</v>
      </c>
      <c r="P479" s="5">
        <f t="shared" si="106"/>
        <v>0</v>
      </c>
      <c r="Q479" s="5">
        <f t="shared" si="107"/>
        <v>0</v>
      </c>
      <c r="R479" s="5">
        <f t="shared" si="108"/>
        <v>0</v>
      </c>
      <c r="S479" s="5">
        <f t="shared" si="109"/>
        <v>0</v>
      </c>
      <c r="T479" s="5">
        <f t="shared" si="110"/>
        <v>0</v>
      </c>
      <c r="U479" s="5">
        <f t="shared" si="111"/>
        <v>0</v>
      </c>
      <c r="V479" s="5">
        <f t="shared" si="99"/>
        <v>0</v>
      </c>
    </row>
    <row r="480" spans="1:22" ht="13.5" customHeight="1" x14ac:dyDescent="0.25">
      <c r="A480" s="594"/>
      <c r="B480" s="377"/>
      <c r="C480" s="377"/>
      <c r="D480" s="443">
        <f t="shared" si="98"/>
        <v>100</v>
      </c>
      <c r="E480" s="580"/>
      <c r="F480" s="580"/>
      <c r="J480" s="26">
        <f t="shared" si="100"/>
        <v>0</v>
      </c>
      <c r="K480" s="5">
        <f t="shared" si="101"/>
        <v>0</v>
      </c>
      <c r="L480" s="5">
        <f t="shared" si="102"/>
        <v>0</v>
      </c>
      <c r="M480" s="5">
        <f t="shared" si="103"/>
        <v>0</v>
      </c>
      <c r="N480" s="5">
        <f t="shared" si="104"/>
        <v>0</v>
      </c>
      <c r="O480" s="5">
        <f t="shared" si="105"/>
        <v>0</v>
      </c>
      <c r="P480" s="5">
        <f t="shared" si="106"/>
        <v>0</v>
      </c>
      <c r="Q480" s="5">
        <f t="shared" si="107"/>
        <v>0</v>
      </c>
      <c r="R480" s="5">
        <f t="shared" si="108"/>
        <v>0</v>
      </c>
      <c r="S480" s="5">
        <f t="shared" si="109"/>
        <v>0</v>
      </c>
      <c r="T480" s="5">
        <f t="shared" si="110"/>
        <v>0</v>
      </c>
      <c r="U480" s="5">
        <f t="shared" si="111"/>
        <v>0</v>
      </c>
      <c r="V480" s="5">
        <f t="shared" si="99"/>
        <v>0</v>
      </c>
    </row>
    <row r="481" spans="1:22" ht="13.5" customHeight="1" x14ac:dyDescent="0.25">
      <c r="A481" s="594"/>
      <c r="B481" s="377"/>
      <c r="C481" s="377"/>
      <c r="D481" s="443">
        <f t="shared" si="98"/>
        <v>100</v>
      </c>
      <c r="E481" s="580"/>
      <c r="F481" s="580"/>
      <c r="J481" s="26">
        <f t="shared" si="100"/>
        <v>0</v>
      </c>
      <c r="K481" s="5">
        <f t="shared" si="101"/>
        <v>0</v>
      </c>
      <c r="L481" s="5">
        <f t="shared" si="102"/>
        <v>0</v>
      </c>
      <c r="M481" s="5">
        <f t="shared" si="103"/>
        <v>0</v>
      </c>
      <c r="N481" s="5">
        <f t="shared" si="104"/>
        <v>0</v>
      </c>
      <c r="O481" s="5">
        <f t="shared" si="105"/>
        <v>0</v>
      </c>
      <c r="P481" s="5">
        <f t="shared" si="106"/>
        <v>0</v>
      </c>
      <c r="Q481" s="5">
        <f t="shared" si="107"/>
        <v>0</v>
      </c>
      <c r="R481" s="5">
        <f t="shared" si="108"/>
        <v>0</v>
      </c>
      <c r="S481" s="5">
        <f t="shared" si="109"/>
        <v>0</v>
      </c>
      <c r="T481" s="5">
        <f t="shared" si="110"/>
        <v>0</v>
      </c>
      <c r="U481" s="5">
        <f t="shared" si="111"/>
        <v>0</v>
      </c>
      <c r="V481" s="5">
        <f t="shared" si="99"/>
        <v>0</v>
      </c>
    </row>
    <row r="482" spans="1:22" ht="13.5" customHeight="1" x14ac:dyDescent="0.25">
      <c r="A482" s="594"/>
      <c r="B482" s="377"/>
      <c r="C482" s="377"/>
      <c r="D482" s="443">
        <f t="shared" si="98"/>
        <v>100</v>
      </c>
      <c r="E482" s="580"/>
      <c r="F482" s="580"/>
      <c r="J482" s="26">
        <f t="shared" si="100"/>
        <v>0</v>
      </c>
      <c r="K482" s="5">
        <f t="shared" si="101"/>
        <v>0</v>
      </c>
      <c r="L482" s="5">
        <f t="shared" si="102"/>
        <v>0</v>
      </c>
      <c r="M482" s="5">
        <f t="shared" si="103"/>
        <v>0</v>
      </c>
      <c r="N482" s="5">
        <f t="shared" si="104"/>
        <v>0</v>
      </c>
      <c r="O482" s="5">
        <f t="shared" si="105"/>
        <v>0</v>
      </c>
      <c r="P482" s="5">
        <f t="shared" si="106"/>
        <v>0</v>
      </c>
      <c r="Q482" s="5">
        <f t="shared" si="107"/>
        <v>0</v>
      </c>
      <c r="R482" s="5">
        <f t="shared" si="108"/>
        <v>0</v>
      </c>
      <c r="S482" s="5">
        <f t="shared" si="109"/>
        <v>0</v>
      </c>
      <c r="T482" s="5">
        <f t="shared" si="110"/>
        <v>0</v>
      </c>
      <c r="U482" s="5">
        <f t="shared" si="111"/>
        <v>0</v>
      </c>
      <c r="V482" s="5">
        <f t="shared" si="99"/>
        <v>0</v>
      </c>
    </row>
    <row r="483" spans="1:22" ht="13.5" customHeight="1" x14ac:dyDescent="0.25">
      <c r="A483" s="594"/>
      <c r="B483" s="377"/>
      <c r="C483" s="377"/>
      <c r="D483" s="443">
        <f t="shared" si="98"/>
        <v>100</v>
      </c>
      <c r="E483" s="580"/>
      <c r="F483" s="580"/>
      <c r="J483" s="26">
        <f t="shared" si="100"/>
        <v>0</v>
      </c>
      <c r="K483" s="5">
        <f t="shared" si="101"/>
        <v>0</v>
      </c>
      <c r="L483" s="5">
        <f t="shared" si="102"/>
        <v>0</v>
      </c>
      <c r="M483" s="5">
        <f t="shared" si="103"/>
        <v>0</v>
      </c>
      <c r="N483" s="5">
        <f t="shared" si="104"/>
        <v>0</v>
      </c>
      <c r="O483" s="5">
        <f t="shared" si="105"/>
        <v>0</v>
      </c>
      <c r="P483" s="5">
        <f t="shared" si="106"/>
        <v>0</v>
      </c>
      <c r="Q483" s="5">
        <f t="shared" si="107"/>
        <v>0</v>
      </c>
      <c r="R483" s="5">
        <f t="shared" si="108"/>
        <v>0</v>
      </c>
      <c r="S483" s="5">
        <f t="shared" si="109"/>
        <v>0</v>
      </c>
      <c r="T483" s="5">
        <f t="shared" si="110"/>
        <v>0</v>
      </c>
      <c r="U483" s="5">
        <f t="shared" si="111"/>
        <v>0</v>
      </c>
      <c r="V483" s="5">
        <f t="shared" si="99"/>
        <v>0</v>
      </c>
    </row>
    <row r="484" spans="1:22" ht="13.5" customHeight="1" x14ac:dyDescent="0.25">
      <c r="A484" s="594"/>
      <c r="B484" s="377"/>
      <c r="C484" s="377"/>
      <c r="D484" s="443">
        <f t="shared" si="98"/>
        <v>100</v>
      </c>
      <c r="E484" s="580"/>
      <c r="F484" s="580"/>
      <c r="J484" s="26">
        <f t="shared" si="100"/>
        <v>0</v>
      </c>
      <c r="K484" s="5">
        <f t="shared" si="101"/>
        <v>0</v>
      </c>
      <c r="L484" s="5">
        <f t="shared" si="102"/>
        <v>0</v>
      </c>
      <c r="M484" s="5">
        <f t="shared" si="103"/>
        <v>0</v>
      </c>
      <c r="N484" s="5">
        <f t="shared" si="104"/>
        <v>0</v>
      </c>
      <c r="O484" s="5">
        <f t="shared" si="105"/>
        <v>0</v>
      </c>
      <c r="P484" s="5">
        <f t="shared" si="106"/>
        <v>0</v>
      </c>
      <c r="Q484" s="5">
        <f t="shared" si="107"/>
        <v>0</v>
      </c>
      <c r="R484" s="5">
        <f t="shared" si="108"/>
        <v>0</v>
      </c>
      <c r="S484" s="5">
        <f t="shared" si="109"/>
        <v>0</v>
      </c>
      <c r="T484" s="5">
        <f t="shared" si="110"/>
        <v>0</v>
      </c>
      <c r="U484" s="5">
        <f t="shared" si="111"/>
        <v>0</v>
      </c>
      <c r="V484" s="5">
        <f t="shared" si="99"/>
        <v>0</v>
      </c>
    </row>
    <row r="485" spans="1:22" ht="13.5" customHeight="1" x14ac:dyDescent="0.25">
      <c r="A485" s="594"/>
      <c r="B485" s="377"/>
      <c r="C485" s="377"/>
      <c r="D485" s="443">
        <f t="shared" si="98"/>
        <v>100</v>
      </c>
      <c r="E485" s="580"/>
      <c r="F485" s="580"/>
      <c r="J485" s="26">
        <f t="shared" si="100"/>
        <v>0</v>
      </c>
      <c r="K485" s="5">
        <f t="shared" si="101"/>
        <v>0</v>
      </c>
      <c r="L485" s="5">
        <f t="shared" si="102"/>
        <v>0</v>
      </c>
      <c r="M485" s="5">
        <f t="shared" si="103"/>
        <v>0</v>
      </c>
      <c r="N485" s="5">
        <f t="shared" si="104"/>
        <v>0</v>
      </c>
      <c r="O485" s="5">
        <f t="shared" si="105"/>
        <v>0</v>
      </c>
      <c r="P485" s="5">
        <f t="shared" si="106"/>
        <v>0</v>
      </c>
      <c r="Q485" s="5">
        <f t="shared" si="107"/>
        <v>0</v>
      </c>
      <c r="R485" s="5">
        <f t="shared" si="108"/>
        <v>0</v>
      </c>
      <c r="S485" s="5">
        <f t="shared" si="109"/>
        <v>0</v>
      </c>
      <c r="T485" s="5">
        <f t="shared" si="110"/>
        <v>0</v>
      </c>
      <c r="U485" s="5">
        <f t="shared" si="111"/>
        <v>0</v>
      </c>
      <c r="V485" s="5">
        <f t="shared" si="99"/>
        <v>0</v>
      </c>
    </row>
    <row r="486" spans="1:22" ht="13.5" customHeight="1" x14ac:dyDescent="0.25">
      <c r="A486" s="594"/>
      <c r="B486" s="377"/>
      <c r="C486" s="377"/>
      <c r="D486" s="443">
        <f t="shared" si="98"/>
        <v>100</v>
      </c>
      <c r="E486" s="580"/>
      <c r="F486" s="580"/>
      <c r="J486" s="26">
        <f t="shared" si="100"/>
        <v>0</v>
      </c>
      <c r="K486" s="5">
        <f t="shared" si="101"/>
        <v>0</v>
      </c>
      <c r="L486" s="5">
        <f t="shared" si="102"/>
        <v>0</v>
      </c>
      <c r="M486" s="5">
        <f t="shared" si="103"/>
        <v>0</v>
      </c>
      <c r="N486" s="5">
        <f t="shared" si="104"/>
        <v>0</v>
      </c>
      <c r="O486" s="5">
        <f t="shared" si="105"/>
        <v>0</v>
      </c>
      <c r="P486" s="5">
        <f t="shared" si="106"/>
        <v>0</v>
      </c>
      <c r="Q486" s="5">
        <f t="shared" si="107"/>
        <v>0</v>
      </c>
      <c r="R486" s="5">
        <f t="shared" si="108"/>
        <v>0</v>
      </c>
      <c r="S486" s="5">
        <f t="shared" si="109"/>
        <v>0</v>
      </c>
      <c r="T486" s="5">
        <f t="shared" si="110"/>
        <v>0</v>
      </c>
      <c r="U486" s="5">
        <f t="shared" si="111"/>
        <v>0</v>
      </c>
      <c r="V486" s="5">
        <f t="shared" si="99"/>
        <v>0</v>
      </c>
    </row>
    <row r="487" spans="1:22" ht="13.5" customHeight="1" x14ac:dyDescent="0.25">
      <c r="A487" s="594"/>
      <c r="B487" s="377"/>
      <c r="C487" s="377"/>
      <c r="D487" s="443">
        <f t="shared" si="98"/>
        <v>100</v>
      </c>
      <c r="E487" s="580"/>
      <c r="F487" s="580"/>
      <c r="J487" s="26">
        <f t="shared" si="100"/>
        <v>0</v>
      </c>
      <c r="K487" s="5">
        <f t="shared" si="101"/>
        <v>0</v>
      </c>
      <c r="L487" s="5">
        <f t="shared" si="102"/>
        <v>0</v>
      </c>
      <c r="M487" s="5">
        <f t="shared" si="103"/>
        <v>0</v>
      </c>
      <c r="N487" s="5">
        <f t="shared" si="104"/>
        <v>0</v>
      </c>
      <c r="O487" s="5">
        <f t="shared" si="105"/>
        <v>0</v>
      </c>
      <c r="P487" s="5">
        <f t="shared" si="106"/>
        <v>0</v>
      </c>
      <c r="Q487" s="5">
        <f t="shared" si="107"/>
        <v>0</v>
      </c>
      <c r="R487" s="5">
        <f t="shared" si="108"/>
        <v>0</v>
      </c>
      <c r="S487" s="5">
        <f t="shared" si="109"/>
        <v>0</v>
      </c>
      <c r="T487" s="5">
        <f t="shared" si="110"/>
        <v>0</v>
      </c>
      <c r="U487" s="5">
        <f t="shared" si="111"/>
        <v>0</v>
      </c>
      <c r="V487" s="5">
        <f t="shared" si="99"/>
        <v>0</v>
      </c>
    </row>
    <row r="488" spans="1:22" ht="13.5" customHeight="1" x14ac:dyDescent="0.25">
      <c r="A488" s="594"/>
      <c r="B488" s="377"/>
      <c r="C488" s="377"/>
      <c r="D488" s="443">
        <f t="shared" si="98"/>
        <v>100</v>
      </c>
      <c r="E488" s="580"/>
      <c r="F488" s="580"/>
      <c r="J488" s="26">
        <f t="shared" si="100"/>
        <v>0</v>
      </c>
      <c r="K488" s="5">
        <f t="shared" si="101"/>
        <v>0</v>
      </c>
      <c r="L488" s="5">
        <f t="shared" si="102"/>
        <v>0</v>
      </c>
      <c r="M488" s="5">
        <f t="shared" si="103"/>
        <v>0</v>
      </c>
      <c r="N488" s="5">
        <f t="shared" si="104"/>
        <v>0</v>
      </c>
      <c r="O488" s="5">
        <f t="shared" si="105"/>
        <v>0</v>
      </c>
      <c r="P488" s="5">
        <f t="shared" si="106"/>
        <v>0</v>
      </c>
      <c r="Q488" s="5">
        <f t="shared" si="107"/>
        <v>0</v>
      </c>
      <c r="R488" s="5">
        <f t="shared" si="108"/>
        <v>0</v>
      </c>
      <c r="S488" s="5">
        <f t="shared" si="109"/>
        <v>0</v>
      </c>
      <c r="T488" s="5">
        <f t="shared" si="110"/>
        <v>0</v>
      </c>
      <c r="U488" s="5">
        <f t="shared" si="111"/>
        <v>0</v>
      </c>
      <c r="V488" s="5">
        <f t="shared" si="99"/>
        <v>0</v>
      </c>
    </row>
    <row r="489" spans="1:22" ht="13.5" customHeight="1" x14ac:dyDescent="0.25">
      <c r="A489" s="594"/>
      <c r="B489" s="377"/>
      <c r="C489" s="377"/>
      <c r="D489" s="443">
        <f t="shared" si="98"/>
        <v>100</v>
      </c>
      <c r="E489" s="580"/>
      <c r="F489" s="580"/>
      <c r="J489" s="26">
        <f t="shared" si="100"/>
        <v>0</v>
      </c>
      <c r="K489" s="5">
        <f t="shared" si="101"/>
        <v>0</v>
      </c>
      <c r="L489" s="5">
        <f t="shared" si="102"/>
        <v>0</v>
      </c>
      <c r="M489" s="5">
        <f t="shared" si="103"/>
        <v>0</v>
      </c>
      <c r="N489" s="5">
        <f t="shared" si="104"/>
        <v>0</v>
      </c>
      <c r="O489" s="5">
        <f t="shared" si="105"/>
        <v>0</v>
      </c>
      <c r="P489" s="5">
        <f t="shared" si="106"/>
        <v>0</v>
      </c>
      <c r="Q489" s="5">
        <f t="shared" si="107"/>
        <v>0</v>
      </c>
      <c r="R489" s="5">
        <f t="shared" si="108"/>
        <v>0</v>
      </c>
      <c r="S489" s="5">
        <f t="shared" si="109"/>
        <v>0</v>
      </c>
      <c r="T489" s="5">
        <f t="shared" si="110"/>
        <v>0</v>
      </c>
      <c r="U489" s="5">
        <f t="shared" si="111"/>
        <v>0</v>
      </c>
      <c r="V489" s="5">
        <f t="shared" si="99"/>
        <v>0</v>
      </c>
    </row>
    <row r="490" spans="1:22" ht="13.5" customHeight="1" x14ac:dyDescent="0.25">
      <c r="A490" s="594"/>
      <c r="B490" s="377"/>
      <c r="C490" s="377"/>
      <c r="D490" s="443">
        <f t="shared" si="98"/>
        <v>100</v>
      </c>
      <c r="E490" s="580"/>
      <c r="F490" s="580"/>
      <c r="J490" s="26">
        <f t="shared" si="100"/>
        <v>0</v>
      </c>
      <c r="K490" s="5">
        <f t="shared" si="101"/>
        <v>0</v>
      </c>
      <c r="L490" s="5">
        <f t="shared" si="102"/>
        <v>0</v>
      </c>
      <c r="M490" s="5">
        <f t="shared" si="103"/>
        <v>0</v>
      </c>
      <c r="N490" s="5">
        <f t="shared" si="104"/>
        <v>0</v>
      </c>
      <c r="O490" s="5">
        <f t="shared" si="105"/>
        <v>0</v>
      </c>
      <c r="P490" s="5">
        <f t="shared" si="106"/>
        <v>0</v>
      </c>
      <c r="Q490" s="5">
        <f t="shared" si="107"/>
        <v>0</v>
      </c>
      <c r="R490" s="5">
        <f t="shared" si="108"/>
        <v>0</v>
      </c>
      <c r="S490" s="5">
        <f t="shared" si="109"/>
        <v>0</v>
      </c>
      <c r="T490" s="5">
        <f t="shared" si="110"/>
        <v>0</v>
      </c>
      <c r="U490" s="5">
        <f t="shared" si="111"/>
        <v>0</v>
      </c>
      <c r="V490" s="5">
        <f t="shared" si="99"/>
        <v>0</v>
      </c>
    </row>
    <row r="491" spans="1:22" ht="13.5" customHeight="1" x14ac:dyDescent="0.25">
      <c r="A491" s="594"/>
      <c r="B491" s="377"/>
      <c r="C491" s="377"/>
      <c r="D491" s="443">
        <f t="shared" si="98"/>
        <v>100</v>
      </c>
      <c r="E491" s="580"/>
      <c r="F491" s="580"/>
      <c r="J491" s="26">
        <f t="shared" si="100"/>
        <v>0</v>
      </c>
      <c r="K491" s="5">
        <f t="shared" si="101"/>
        <v>0</v>
      </c>
      <c r="L491" s="5">
        <f t="shared" si="102"/>
        <v>0</v>
      </c>
      <c r="M491" s="5">
        <f t="shared" si="103"/>
        <v>0</v>
      </c>
      <c r="N491" s="5">
        <f t="shared" si="104"/>
        <v>0</v>
      </c>
      <c r="O491" s="5">
        <f t="shared" si="105"/>
        <v>0</v>
      </c>
      <c r="P491" s="5">
        <f t="shared" si="106"/>
        <v>0</v>
      </c>
      <c r="Q491" s="5">
        <f t="shared" si="107"/>
        <v>0</v>
      </c>
      <c r="R491" s="5">
        <f t="shared" si="108"/>
        <v>0</v>
      </c>
      <c r="S491" s="5">
        <f t="shared" si="109"/>
        <v>0</v>
      </c>
      <c r="T491" s="5">
        <f t="shared" si="110"/>
        <v>0</v>
      </c>
      <c r="U491" s="5">
        <f t="shared" si="111"/>
        <v>0</v>
      </c>
      <c r="V491" s="5">
        <f t="shared" si="99"/>
        <v>0</v>
      </c>
    </row>
    <row r="492" spans="1:22" ht="13.5" customHeight="1" x14ac:dyDescent="0.25">
      <c r="A492" s="594"/>
      <c r="B492" s="377"/>
      <c r="C492" s="377"/>
      <c r="D492" s="443">
        <f t="shared" si="98"/>
        <v>100</v>
      </c>
      <c r="E492" s="580"/>
      <c r="F492" s="580"/>
      <c r="J492" s="26">
        <f t="shared" si="100"/>
        <v>0</v>
      </c>
      <c r="K492" s="5">
        <f t="shared" si="101"/>
        <v>0</v>
      </c>
      <c r="L492" s="5">
        <f t="shared" si="102"/>
        <v>0</v>
      </c>
      <c r="M492" s="5">
        <f t="shared" si="103"/>
        <v>0</v>
      </c>
      <c r="N492" s="5">
        <f t="shared" si="104"/>
        <v>0</v>
      </c>
      <c r="O492" s="5">
        <f t="shared" si="105"/>
        <v>0</v>
      </c>
      <c r="P492" s="5">
        <f t="shared" si="106"/>
        <v>0</v>
      </c>
      <c r="Q492" s="5">
        <f t="shared" si="107"/>
        <v>0</v>
      </c>
      <c r="R492" s="5">
        <f t="shared" si="108"/>
        <v>0</v>
      </c>
      <c r="S492" s="5">
        <f t="shared" si="109"/>
        <v>0</v>
      </c>
      <c r="T492" s="5">
        <f t="shared" si="110"/>
        <v>0</v>
      </c>
      <c r="U492" s="5">
        <f t="shared" si="111"/>
        <v>0</v>
      </c>
      <c r="V492" s="5">
        <f t="shared" si="99"/>
        <v>0</v>
      </c>
    </row>
    <row r="493" spans="1:22" ht="13.5" customHeight="1" x14ac:dyDescent="0.25">
      <c r="A493" s="594"/>
      <c r="B493" s="377"/>
      <c r="C493" s="377"/>
      <c r="D493" s="443">
        <f t="shared" si="98"/>
        <v>100</v>
      </c>
      <c r="E493" s="580"/>
      <c r="F493" s="580"/>
      <c r="J493" s="26">
        <f t="shared" si="100"/>
        <v>0</v>
      </c>
      <c r="K493" s="5">
        <f t="shared" si="101"/>
        <v>0</v>
      </c>
      <c r="L493" s="5">
        <f t="shared" si="102"/>
        <v>0</v>
      </c>
      <c r="M493" s="5">
        <f t="shared" si="103"/>
        <v>0</v>
      </c>
      <c r="N493" s="5">
        <f t="shared" si="104"/>
        <v>0</v>
      </c>
      <c r="O493" s="5">
        <f t="shared" si="105"/>
        <v>0</v>
      </c>
      <c r="P493" s="5">
        <f t="shared" si="106"/>
        <v>0</v>
      </c>
      <c r="Q493" s="5">
        <f t="shared" si="107"/>
        <v>0</v>
      </c>
      <c r="R493" s="5">
        <f t="shared" si="108"/>
        <v>0</v>
      </c>
      <c r="S493" s="5">
        <f t="shared" si="109"/>
        <v>0</v>
      </c>
      <c r="T493" s="5">
        <f t="shared" si="110"/>
        <v>0</v>
      </c>
      <c r="U493" s="5">
        <f t="shared" si="111"/>
        <v>0</v>
      </c>
      <c r="V493" s="5">
        <f t="shared" si="99"/>
        <v>0</v>
      </c>
    </row>
    <row r="494" spans="1:22" ht="13.5" customHeight="1" x14ac:dyDescent="0.25">
      <c r="A494" s="594"/>
      <c r="B494" s="377"/>
      <c r="C494" s="377"/>
      <c r="D494" s="443">
        <f t="shared" si="98"/>
        <v>100</v>
      </c>
      <c r="E494" s="580"/>
      <c r="F494" s="580"/>
      <c r="J494" s="26">
        <f t="shared" si="100"/>
        <v>0</v>
      </c>
      <c r="K494" s="5">
        <f t="shared" si="101"/>
        <v>0</v>
      </c>
      <c r="L494" s="5">
        <f t="shared" si="102"/>
        <v>0</v>
      </c>
      <c r="M494" s="5">
        <f t="shared" si="103"/>
        <v>0</v>
      </c>
      <c r="N494" s="5">
        <f t="shared" si="104"/>
        <v>0</v>
      </c>
      <c r="O494" s="5">
        <f t="shared" si="105"/>
        <v>0</v>
      </c>
      <c r="P494" s="5">
        <f t="shared" si="106"/>
        <v>0</v>
      </c>
      <c r="Q494" s="5">
        <f t="shared" si="107"/>
        <v>0</v>
      </c>
      <c r="R494" s="5">
        <f t="shared" si="108"/>
        <v>0</v>
      </c>
      <c r="S494" s="5">
        <f t="shared" si="109"/>
        <v>0</v>
      </c>
      <c r="T494" s="5">
        <f t="shared" si="110"/>
        <v>0</v>
      </c>
      <c r="U494" s="5">
        <f t="shared" si="111"/>
        <v>0</v>
      </c>
      <c r="V494" s="5">
        <f t="shared" si="99"/>
        <v>0</v>
      </c>
    </row>
    <row r="495" spans="1:22" ht="13.5" customHeight="1" x14ac:dyDescent="0.25">
      <c r="A495" s="594"/>
      <c r="B495" s="377"/>
      <c r="C495" s="377"/>
      <c r="D495" s="443">
        <f t="shared" si="98"/>
        <v>100</v>
      </c>
      <c r="E495" s="580"/>
      <c r="F495" s="580"/>
      <c r="J495" s="26">
        <f t="shared" si="100"/>
        <v>0</v>
      </c>
      <c r="K495" s="5">
        <f t="shared" si="101"/>
        <v>0</v>
      </c>
      <c r="L495" s="5">
        <f t="shared" si="102"/>
        <v>0</v>
      </c>
      <c r="M495" s="5">
        <f t="shared" si="103"/>
        <v>0</v>
      </c>
      <c r="N495" s="5">
        <f t="shared" si="104"/>
        <v>0</v>
      </c>
      <c r="O495" s="5">
        <f t="shared" si="105"/>
        <v>0</v>
      </c>
      <c r="P495" s="5">
        <f t="shared" si="106"/>
        <v>0</v>
      </c>
      <c r="Q495" s="5">
        <f t="shared" si="107"/>
        <v>0</v>
      </c>
      <c r="R495" s="5">
        <f t="shared" si="108"/>
        <v>0</v>
      </c>
      <c r="S495" s="5">
        <f t="shared" si="109"/>
        <v>0</v>
      </c>
      <c r="T495" s="5">
        <f t="shared" si="110"/>
        <v>0</v>
      </c>
      <c r="U495" s="5">
        <f t="shared" si="111"/>
        <v>0</v>
      </c>
      <c r="V495" s="5">
        <f t="shared" si="99"/>
        <v>0</v>
      </c>
    </row>
    <row r="496" spans="1:22" ht="13.5" customHeight="1" x14ac:dyDescent="0.25">
      <c r="A496" s="594"/>
      <c r="B496" s="377"/>
      <c r="C496" s="377"/>
      <c r="D496" s="443">
        <f t="shared" si="98"/>
        <v>100</v>
      </c>
      <c r="E496" s="580"/>
      <c r="F496" s="580"/>
      <c r="J496" s="26">
        <f t="shared" si="100"/>
        <v>0</v>
      </c>
      <c r="K496" s="5">
        <f t="shared" si="101"/>
        <v>0</v>
      </c>
      <c r="L496" s="5">
        <f t="shared" si="102"/>
        <v>0</v>
      </c>
      <c r="M496" s="5">
        <f t="shared" si="103"/>
        <v>0</v>
      </c>
      <c r="N496" s="5">
        <f t="shared" si="104"/>
        <v>0</v>
      </c>
      <c r="O496" s="5">
        <f t="shared" si="105"/>
        <v>0</v>
      </c>
      <c r="P496" s="5">
        <f t="shared" si="106"/>
        <v>0</v>
      </c>
      <c r="Q496" s="5">
        <f t="shared" si="107"/>
        <v>0</v>
      </c>
      <c r="R496" s="5">
        <f t="shared" si="108"/>
        <v>0</v>
      </c>
      <c r="S496" s="5">
        <f t="shared" si="109"/>
        <v>0</v>
      </c>
      <c r="T496" s="5">
        <f t="shared" si="110"/>
        <v>0</v>
      </c>
      <c r="U496" s="5">
        <f t="shared" si="111"/>
        <v>0</v>
      </c>
      <c r="V496" s="5">
        <f t="shared" si="99"/>
        <v>0</v>
      </c>
    </row>
    <row r="497" spans="1:22" ht="13.5" customHeight="1" x14ac:dyDescent="0.25">
      <c r="A497" s="594"/>
      <c r="B497" s="377"/>
      <c r="C497" s="377"/>
      <c r="D497" s="443">
        <f t="shared" si="98"/>
        <v>100</v>
      </c>
      <c r="E497" s="580"/>
      <c r="F497" s="580"/>
      <c r="J497" s="26">
        <f t="shared" si="100"/>
        <v>0</v>
      </c>
      <c r="K497" s="5">
        <f t="shared" si="101"/>
        <v>0</v>
      </c>
      <c r="L497" s="5">
        <f t="shared" si="102"/>
        <v>0</v>
      </c>
      <c r="M497" s="5">
        <f t="shared" si="103"/>
        <v>0</v>
      </c>
      <c r="N497" s="5">
        <f t="shared" si="104"/>
        <v>0</v>
      </c>
      <c r="O497" s="5">
        <f t="shared" si="105"/>
        <v>0</v>
      </c>
      <c r="P497" s="5">
        <f t="shared" si="106"/>
        <v>0</v>
      </c>
      <c r="Q497" s="5">
        <f t="shared" si="107"/>
        <v>0</v>
      </c>
      <c r="R497" s="5">
        <f t="shared" si="108"/>
        <v>0</v>
      </c>
      <c r="S497" s="5">
        <f t="shared" si="109"/>
        <v>0</v>
      </c>
      <c r="T497" s="5">
        <f t="shared" si="110"/>
        <v>0</v>
      </c>
      <c r="U497" s="5">
        <f t="shared" si="111"/>
        <v>0</v>
      </c>
      <c r="V497" s="5">
        <f t="shared" si="99"/>
        <v>0</v>
      </c>
    </row>
    <row r="498" spans="1:22" ht="13.5" customHeight="1" x14ac:dyDescent="0.25">
      <c r="A498" s="594"/>
      <c r="B498" s="377"/>
      <c r="C498" s="377"/>
      <c r="D498" s="443">
        <f t="shared" si="98"/>
        <v>100</v>
      </c>
      <c r="E498" s="580"/>
      <c r="F498" s="580"/>
      <c r="J498" s="26">
        <f t="shared" si="100"/>
        <v>0</v>
      </c>
      <c r="K498" s="5">
        <f t="shared" si="101"/>
        <v>0</v>
      </c>
      <c r="L498" s="5">
        <f t="shared" si="102"/>
        <v>0</v>
      </c>
      <c r="M498" s="5">
        <f t="shared" si="103"/>
        <v>0</v>
      </c>
      <c r="N498" s="5">
        <f t="shared" si="104"/>
        <v>0</v>
      </c>
      <c r="O498" s="5">
        <f t="shared" si="105"/>
        <v>0</v>
      </c>
      <c r="P498" s="5">
        <f t="shared" si="106"/>
        <v>0</v>
      </c>
      <c r="Q498" s="5">
        <f t="shared" si="107"/>
        <v>0</v>
      </c>
      <c r="R498" s="5">
        <f t="shared" si="108"/>
        <v>0</v>
      </c>
      <c r="S498" s="5">
        <f t="shared" si="109"/>
        <v>0</v>
      </c>
      <c r="T498" s="5">
        <f t="shared" si="110"/>
        <v>0</v>
      </c>
      <c r="U498" s="5">
        <f t="shared" si="111"/>
        <v>0</v>
      </c>
      <c r="V498" s="5">
        <f t="shared" si="99"/>
        <v>0</v>
      </c>
    </row>
    <row r="499" spans="1:22" ht="13.5" customHeight="1" x14ac:dyDescent="0.25">
      <c r="A499" s="594"/>
      <c r="B499" s="377"/>
      <c r="C499" s="377"/>
      <c r="D499" s="443">
        <f t="shared" si="98"/>
        <v>100</v>
      </c>
      <c r="E499" s="580"/>
      <c r="F499" s="580"/>
      <c r="J499" s="26">
        <f t="shared" si="100"/>
        <v>0</v>
      </c>
      <c r="K499" s="5">
        <f t="shared" si="101"/>
        <v>0</v>
      </c>
      <c r="L499" s="5">
        <f t="shared" si="102"/>
        <v>0</v>
      </c>
      <c r="M499" s="5">
        <f t="shared" si="103"/>
        <v>0</v>
      </c>
      <c r="N499" s="5">
        <f t="shared" si="104"/>
        <v>0</v>
      </c>
      <c r="O499" s="5">
        <f t="shared" si="105"/>
        <v>0</v>
      </c>
      <c r="P499" s="5">
        <f t="shared" si="106"/>
        <v>0</v>
      </c>
      <c r="Q499" s="5">
        <f t="shared" si="107"/>
        <v>0</v>
      </c>
      <c r="R499" s="5">
        <f t="shared" si="108"/>
        <v>0</v>
      </c>
      <c r="S499" s="5">
        <f t="shared" si="109"/>
        <v>0</v>
      </c>
      <c r="T499" s="5">
        <f t="shared" si="110"/>
        <v>0</v>
      </c>
      <c r="U499" s="5">
        <f t="shared" si="111"/>
        <v>0</v>
      </c>
      <c r="V499" s="5">
        <f t="shared" si="99"/>
        <v>0</v>
      </c>
    </row>
    <row r="500" spans="1:22" ht="13.5" customHeight="1" x14ac:dyDescent="0.25">
      <c r="A500" s="594"/>
      <c r="B500" s="377"/>
      <c r="C500" s="377"/>
      <c r="D500" s="443">
        <f t="shared" si="98"/>
        <v>100</v>
      </c>
      <c r="E500" s="580"/>
      <c r="F500" s="580"/>
      <c r="J500" s="26">
        <f t="shared" si="100"/>
        <v>0</v>
      </c>
      <c r="K500" s="5">
        <f t="shared" si="101"/>
        <v>0</v>
      </c>
      <c r="L500" s="5">
        <f t="shared" si="102"/>
        <v>0</v>
      </c>
      <c r="M500" s="5">
        <f t="shared" si="103"/>
        <v>0</v>
      </c>
      <c r="N500" s="5">
        <f t="shared" si="104"/>
        <v>0</v>
      </c>
      <c r="O500" s="5">
        <f t="shared" si="105"/>
        <v>0</v>
      </c>
      <c r="P500" s="5">
        <f t="shared" si="106"/>
        <v>0</v>
      </c>
      <c r="Q500" s="5">
        <f t="shared" si="107"/>
        <v>0</v>
      </c>
      <c r="R500" s="5">
        <f t="shared" si="108"/>
        <v>0</v>
      </c>
      <c r="S500" s="5">
        <f t="shared" si="109"/>
        <v>0</v>
      </c>
      <c r="T500" s="5">
        <f t="shared" si="110"/>
        <v>0</v>
      </c>
      <c r="U500" s="5">
        <f t="shared" si="111"/>
        <v>0</v>
      </c>
      <c r="V500" s="5">
        <f t="shared" si="99"/>
        <v>0</v>
      </c>
    </row>
    <row r="501" spans="1:22" ht="13.5" customHeight="1" x14ac:dyDescent="0.25">
      <c r="A501" s="594"/>
      <c r="B501" s="377"/>
      <c r="C501" s="377"/>
      <c r="D501" s="443">
        <f t="shared" si="98"/>
        <v>100</v>
      </c>
      <c r="E501" s="580"/>
      <c r="F501" s="580"/>
      <c r="J501" s="26">
        <f t="shared" si="100"/>
        <v>0</v>
      </c>
      <c r="K501" s="5">
        <f t="shared" si="101"/>
        <v>0</v>
      </c>
      <c r="L501" s="5">
        <f t="shared" si="102"/>
        <v>0</v>
      </c>
      <c r="M501" s="5">
        <f t="shared" si="103"/>
        <v>0</v>
      </c>
      <c r="N501" s="5">
        <f t="shared" si="104"/>
        <v>0</v>
      </c>
      <c r="O501" s="5">
        <f t="shared" si="105"/>
        <v>0</v>
      </c>
      <c r="P501" s="5">
        <f t="shared" si="106"/>
        <v>0</v>
      </c>
      <c r="Q501" s="5">
        <f t="shared" si="107"/>
        <v>0</v>
      </c>
      <c r="R501" s="5">
        <f t="shared" si="108"/>
        <v>0</v>
      </c>
      <c r="S501" s="5">
        <f t="shared" si="109"/>
        <v>0</v>
      </c>
      <c r="T501" s="5">
        <f t="shared" si="110"/>
        <v>0</v>
      </c>
      <c r="U501" s="5">
        <f t="shared" si="111"/>
        <v>0</v>
      </c>
      <c r="V501" s="5">
        <f t="shared" si="99"/>
        <v>0</v>
      </c>
    </row>
    <row r="502" spans="1:22" ht="13.5" customHeight="1" x14ac:dyDescent="0.25">
      <c r="A502" s="594"/>
      <c r="B502" s="377"/>
      <c r="C502" s="377"/>
      <c r="D502" s="443">
        <f t="shared" si="98"/>
        <v>100</v>
      </c>
      <c r="E502" s="580"/>
      <c r="F502" s="580"/>
      <c r="J502" s="26">
        <f t="shared" si="100"/>
        <v>0</v>
      </c>
      <c r="K502" s="5">
        <f t="shared" si="101"/>
        <v>0</v>
      </c>
      <c r="L502" s="5">
        <f t="shared" si="102"/>
        <v>0</v>
      </c>
      <c r="M502" s="5">
        <f t="shared" si="103"/>
        <v>0</v>
      </c>
      <c r="N502" s="5">
        <f t="shared" si="104"/>
        <v>0</v>
      </c>
      <c r="O502" s="5">
        <f t="shared" si="105"/>
        <v>0</v>
      </c>
      <c r="P502" s="5">
        <f t="shared" si="106"/>
        <v>0</v>
      </c>
      <c r="Q502" s="5">
        <f t="shared" si="107"/>
        <v>0</v>
      </c>
      <c r="R502" s="5">
        <f t="shared" si="108"/>
        <v>0</v>
      </c>
      <c r="S502" s="5">
        <f t="shared" si="109"/>
        <v>0</v>
      </c>
      <c r="T502" s="5">
        <f t="shared" si="110"/>
        <v>0</v>
      </c>
      <c r="U502" s="5">
        <f t="shared" si="111"/>
        <v>0</v>
      </c>
      <c r="V502" s="5">
        <f t="shared" si="99"/>
        <v>0</v>
      </c>
    </row>
    <row r="503" spans="1:22" ht="13.5" customHeight="1" x14ac:dyDescent="0.25">
      <c r="A503" s="594"/>
      <c r="B503" s="377"/>
      <c r="C503" s="377"/>
      <c r="D503" s="443">
        <f t="shared" si="98"/>
        <v>100</v>
      </c>
      <c r="E503" s="580"/>
      <c r="F503" s="580"/>
      <c r="J503" s="26">
        <f t="shared" si="100"/>
        <v>0</v>
      </c>
      <c r="K503" s="5">
        <f t="shared" si="101"/>
        <v>0</v>
      </c>
      <c r="L503" s="5">
        <f t="shared" si="102"/>
        <v>0</v>
      </c>
      <c r="M503" s="5">
        <f t="shared" si="103"/>
        <v>0</v>
      </c>
      <c r="N503" s="5">
        <f t="shared" si="104"/>
        <v>0</v>
      </c>
      <c r="O503" s="5">
        <f t="shared" si="105"/>
        <v>0</v>
      </c>
      <c r="P503" s="5">
        <f t="shared" si="106"/>
        <v>0</v>
      </c>
      <c r="Q503" s="5">
        <f t="shared" si="107"/>
        <v>0</v>
      </c>
      <c r="R503" s="5">
        <f t="shared" si="108"/>
        <v>0</v>
      </c>
      <c r="S503" s="5">
        <f t="shared" si="109"/>
        <v>0</v>
      </c>
      <c r="T503" s="5">
        <f t="shared" si="110"/>
        <v>0</v>
      </c>
      <c r="U503" s="5">
        <f t="shared" si="111"/>
        <v>0</v>
      </c>
      <c r="V503" s="5">
        <f t="shared" si="99"/>
        <v>0</v>
      </c>
    </row>
    <row r="504" spans="1:22" ht="13.5" customHeight="1" x14ac:dyDescent="0.25">
      <c r="A504" s="919" t="s">
        <v>2137</v>
      </c>
      <c r="B504" s="907"/>
      <c r="C504" s="907"/>
      <c r="D504" s="907"/>
      <c r="E504" s="907"/>
      <c r="F504" s="908"/>
      <c r="J504" s="216">
        <f>SUM(J27:J503)</f>
        <v>0</v>
      </c>
      <c r="K504" s="473">
        <f>SUM(K27:K503)</f>
        <v>0</v>
      </c>
      <c r="L504" s="473">
        <f t="shared" ref="L504:U504" si="112">SUM(L27:L503)</f>
        <v>0</v>
      </c>
      <c r="M504" s="473">
        <f t="shared" si="112"/>
        <v>0</v>
      </c>
      <c r="N504" s="473">
        <f t="shared" si="112"/>
        <v>0</v>
      </c>
      <c r="O504" s="473">
        <f t="shared" si="112"/>
        <v>0</v>
      </c>
      <c r="P504" s="473">
        <f t="shared" si="112"/>
        <v>0</v>
      </c>
      <c r="Q504" s="473">
        <f t="shared" si="112"/>
        <v>0</v>
      </c>
      <c r="R504" s="473">
        <f t="shared" si="112"/>
        <v>0</v>
      </c>
      <c r="S504" s="473">
        <f t="shared" si="112"/>
        <v>0</v>
      </c>
      <c r="T504" s="473">
        <f t="shared" si="112"/>
        <v>0</v>
      </c>
      <c r="U504" s="473">
        <f t="shared" si="112"/>
        <v>0</v>
      </c>
      <c r="V504" s="473">
        <f>SUM(V27:V503)</f>
        <v>0</v>
      </c>
    </row>
    <row r="505" spans="1:22" ht="13.5" customHeight="1" x14ac:dyDescent="0.25"/>
    <row r="506" spans="1:22" ht="13.5" customHeight="1" x14ac:dyDescent="0.25"/>
    <row r="507" spans="1:22" ht="13.5" customHeight="1" x14ac:dyDescent="0.25"/>
    <row r="508" spans="1:22" ht="13.5" customHeight="1" x14ac:dyDescent="0.25"/>
    <row r="509" spans="1:22" ht="13.5" customHeight="1" x14ac:dyDescent="0.25"/>
    <row r="510" spans="1:22" ht="13.5" customHeight="1" x14ac:dyDescent="0.25"/>
    <row r="511" spans="1:22" ht="13.5" customHeight="1" x14ac:dyDescent="0.25"/>
    <row r="512" spans="1:2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row r="1014" ht="13.5" customHeight="1" x14ac:dyDescent="0.25"/>
    <row r="1015" ht="13.5" customHeight="1" x14ac:dyDescent="0.25"/>
    <row r="1016" ht="13.5" customHeight="1" x14ac:dyDescent="0.25"/>
    <row r="1017" ht="13.5" customHeight="1" x14ac:dyDescent="0.25"/>
    <row r="1018" ht="13.5" customHeight="1" x14ac:dyDescent="0.25"/>
    <row r="1019" ht="13.5" customHeight="1" x14ac:dyDescent="0.25"/>
    <row r="1020" ht="13.5" customHeight="1" x14ac:dyDescent="0.25"/>
    <row r="1021" ht="13.5" customHeight="1" x14ac:dyDescent="0.25"/>
    <row r="1022" ht="13.5" customHeight="1" x14ac:dyDescent="0.25"/>
    <row r="1023" ht="13.5" customHeight="1" x14ac:dyDescent="0.25"/>
    <row r="1024" ht="13.5" customHeight="1" x14ac:dyDescent="0.25"/>
    <row r="1025" ht="13.5" customHeight="1" x14ac:dyDescent="0.25"/>
    <row r="1026" ht="13.5" customHeight="1" x14ac:dyDescent="0.25"/>
    <row r="1027" ht="13.5" customHeight="1" x14ac:dyDescent="0.25"/>
    <row r="1028" ht="13.5" customHeight="1" x14ac:dyDescent="0.25"/>
    <row r="1029" ht="13.5" customHeight="1" x14ac:dyDescent="0.25"/>
    <row r="1030" ht="13.5" customHeight="1" x14ac:dyDescent="0.25"/>
    <row r="1031" ht="13.5" customHeight="1" x14ac:dyDescent="0.25"/>
    <row r="1032" ht="13.5" customHeight="1" x14ac:dyDescent="0.25"/>
    <row r="1033" ht="13.5" customHeight="1" x14ac:dyDescent="0.25"/>
    <row r="1034" ht="13.5" customHeight="1" x14ac:dyDescent="0.25"/>
    <row r="1035" ht="13.5" customHeight="1" x14ac:dyDescent="0.25"/>
    <row r="1036" ht="13.5" customHeight="1" x14ac:dyDescent="0.25"/>
    <row r="1037" ht="13.5" customHeight="1" x14ac:dyDescent="0.25"/>
    <row r="1038" ht="13.5" customHeight="1" x14ac:dyDescent="0.25"/>
    <row r="1039" ht="13.5" customHeight="1" x14ac:dyDescent="0.25"/>
    <row r="1040" ht="13.5" customHeight="1" x14ac:dyDescent="0.25"/>
    <row r="1041" ht="13.5" customHeight="1" x14ac:dyDescent="0.25"/>
    <row r="1042" ht="13.5" customHeight="1" x14ac:dyDescent="0.25"/>
    <row r="1043" ht="13.5" customHeight="1" x14ac:dyDescent="0.25"/>
    <row r="1044" ht="13.5" customHeight="1" x14ac:dyDescent="0.25"/>
    <row r="1045" ht="13.5" customHeight="1" x14ac:dyDescent="0.25"/>
    <row r="1046" ht="13.5" customHeight="1" x14ac:dyDescent="0.25"/>
    <row r="1047" ht="13.5" customHeight="1" x14ac:dyDescent="0.25"/>
    <row r="1048" ht="13.5" customHeight="1" x14ac:dyDescent="0.25"/>
    <row r="1049" ht="13.5" customHeight="1" x14ac:dyDescent="0.25"/>
    <row r="1050" ht="13.5" customHeight="1" x14ac:dyDescent="0.25"/>
    <row r="1051" ht="13.5" customHeight="1" x14ac:dyDescent="0.25"/>
    <row r="1052" ht="13.5" customHeight="1" x14ac:dyDescent="0.25"/>
    <row r="1053" ht="13.5" customHeight="1" x14ac:dyDescent="0.25"/>
    <row r="1054" ht="13.5" customHeight="1" x14ac:dyDescent="0.25"/>
    <row r="1055" ht="13.5" customHeight="1" x14ac:dyDescent="0.25"/>
    <row r="1056" ht="13.5" customHeight="1" x14ac:dyDescent="0.25"/>
    <row r="1057" ht="13.5" customHeight="1" x14ac:dyDescent="0.25"/>
    <row r="1058" ht="13.5" customHeight="1" x14ac:dyDescent="0.25"/>
    <row r="1059" ht="13.5" customHeight="1" x14ac:dyDescent="0.25"/>
    <row r="1060" ht="13.5" customHeight="1" x14ac:dyDescent="0.25"/>
    <row r="1061" ht="13.5" customHeight="1" x14ac:dyDescent="0.25"/>
    <row r="1062" ht="13.5" customHeight="1" x14ac:dyDescent="0.25"/>
    <row r="1063" ht="13.5" customHeight="1" x14ac:dyDescent="0.25"/>
    <row r="1064" ht="13.5" customHeight="1" x14ac:dyDescent="0.25"/>
    <row r="1065" ht="13.5" customHeight="1" x14ac:dyDescent="0.25"/>
    <row r="1066" ht="13.5" customHeight="1" x14ac:dyDescent="0.25"/>
    <row r="1067" ht="13.5" customHeight="1" x14ac:dyDescent="0.25"/>
    <row r="1068" ht="13.5" customHeight="1" x14ac:dyDescent="0.25"/>
    <row r="1069" ht="13.5" customHeight="1" x14ac:dyDescent="0.25"/>
    <row r="1070" ht="13.5" customHeight="1" x14ac:dyDescent="0.25"/>
    <row r="1071" ht="13.5" customHeight="1" x14ac:dyDescent="0.25"/>
    <row r="1072" ht="13.5" customHeight="1" x14ac:dyDescent="0.25"/>
    <row r="1073" ht="13.5" customHeight="1" x14ac:dyDescent="0.25"/>
    <row r="1074" ht="13.5" customHeight="1" x14ac:dyDescent="0.25"/>
    <row r="1075" ht="13.5" customHeight="1" x14ac:dyDescent="0.25"/>
    <row r="1076" ht="13.5" customHeight="1" x14ac:dyDescent="0.25"/>
    <row r="1077" ht="13.5" customHeight="1" x14ac:dyDescent="0.25"/>
    <row r="1078" ht="13.5" customHeight="1" x14ac:dyDescent="0.25"/>
    <row r="1079" ht="13.5" customHeight="1" x14ac:dyDescent="0.25"/>
    <row r="1080" ht="13.5" customHeight="1" x14ac:dyDescent="0.25"/>
    <row r="1081" ht="13.5" customHeight="1" x14ac:dyDescent="0.25"/>
    <row r="1082" ht="13.5" customHeight="1" x14ac:dyDescent="0.25"/>
    <row r="1083" ht="13.5" customHeight="1" x14ac:dyDescent="0.25"/>
    <row r="1084" ht="13.5" customHeight="1" x14ac:dyDescent="0.25"/>
    <row r="1085" ht="13.5" customHeight="1" x14ac:dyDescent="0.25"/>
    <row r="1086" ht="13.5" customHeight="1" x14ac:dyDescent="0.25"/>
    <row r="1087" ht="13.5" customHeight="1" x14ac:dyDescent="0.25"/>
    <row r="1088" ht="13.5" customHeight="1" x14ac:dyDescent="0.25"/>
    <row r="1089" ht="13.5" customHeight="1" x14ac:dyDescent="0.25"/>
    <row r="1090" ht="13.5" customHeight="1" x14ac:dyDescent="0.25"/>
    <row r="1091" ht="13.5" customHeight="1" x14ac:dyDescent="0.25"/>
    <row r="1092" ht="13.5" customHeight="1" x14ac:dyDescent="0.25"/>
    <row r="1093" ht="13.5" customHeight="1" x14ac:dyDescent="0.25"/>
    <row r="1094" ht="13.5" customHeight="1" x14ac:dyDescent="0.25"/>
    <row r="1095" ht="13.5" customHeight="1" x14ac:dyDescent="0.25"/>
    <row r="1096" ht="13.5" customHeight="1" x14ac:dyDescent="0.25"/>
    <row r="1097" ht="13.5" customHeight="1" x14ac:dyDescent="0.25"/>
    <row r="1098" ht="13.5" customHeight="1" x14ac:dyDescent="0.25"/>
    <row r="1099" ht="13.5" customHeight="1" x14ac:dyDescent="0.25"/>
    <row r="1100" ht="13.5" customHeight="1" x14ac:dyDescent="0.25"/>
    <row r="1101" ht="13.5" customHeight="1" x14ac:dyDescent="0.25"/>
    <row r="1102" ht="13.5" customHeight="1" x14ac:dyDescent="0.25"/>
    <row r="1103" ht="13.5" customHeight="1" x14ac:dyDescent="0.25"/>
    <row r="1104" ht="13.5" customHeight="1" x14ac:dyDescent="0.25"/>
    <row r="1105" ht="13.5" customHeight="1" x14ac:dyDescent="0.25"/>
    <row r="1106" ht="13.5" customHeight="1" x14ac:dyDescent="0.25"/>
    <row r="1107" ht="13.5" customHeight="1" x14ac:dyDescent="0.25"/>
    <row r="1108" ht="13.5" customHeight="1" x14ac:dyDescent="0.25"/>
    <row r="1109" ht="13.5" customHeight="1" x14ac:dyDescent="0.25"/>
    <row r="1110" ht="13.5" customHeight="1" x14ac:dyDescent="0.25"/>
    <row r="1111" ht="13.5" customHeight="1" x14ac:dyDescent="0.25"/>
    <row r="1112" ht="13.5" customHeight="1" x14ac:dyDescent="0.25"/>
    <row r="1113" ht="13.5" customHeight="1" x14ac:dyDescent="0.25"/>
    <row r="1114" ht="13.5" customHeight="1" x14ac:dyDescent="0.25"/>
    <row r="1115" ht="13.5" customHeight="1" x14ac:dyDescent="0.25"/>
    <row r="1116" ht="13.5" customHeight="1" x14ac:dyDescent="0.25"/>
    <row r="1117" ht="13.5" customHeight="1" x14ac:dyDescent="0.25"/>
    <row r="1118" ht="13.5" customHeight="1" x14ac:dyDescent="0.25"/>
    <row r="1119" ht="13.5" customHeight="1" x14ac:dyDescent="0.25"/>
    <row r="1120" ht="13.5" customHeight="1" x14ac:dyDescent="0.25"/>
    <row r="1121" ht="13.5" customHeight="1" x14ac:dyDescent="0.25"/>
    <row r="1122" ht="13.5" customHeight="1" x14ac:dyDescent="0.25"/>
    <row r="1123" ht="13.5" customHeight="1" x14ac:dyDescent="0.25"/>
    <row r="1124" ht="13.5" customHeight="1" x14ac:dyDescent="0.25"/>
    <row r="1125" ht="13.5" customHeight="1" x14ac:dyDescent="0.25"/>
    <row r="1126" ht="13.5" customHeight="1" x14ac:dyDescent="0.25"/>
    <row r="1127" ht="13.5" customHeight="1" x14ac:dyDescent="0.25"/>
    <row r="1128" ht="13.5" customHeight="1" x14ac:dyDescent="0.25"/>
    <row r="1129" ht="13.5" customHeight="1" x14ac:dyDescent="0.25"/>
    <row r="1130" ht="13.5" customHeight="1" x14ac:dyDescent="0.25"/>
    <row r="1131" ht="13.5" customHeight="1" x14ac:dyDescent="0.25"/>
    <row r="1132" ht="13.5" customHeight="1" x14ac:dyDescent="0.25"/>
    <row r="1133" ht="13.5" customHeight="1" x14ac:dyDescent="0.25"/>
    <row r="1134" ht="13.5" customHeight="1" x14ac:dyDescent="0.25"/>
    <row r="1135" ht="13.5" customHeight="1" x14ac:dyDescent="0.25"/>
    <row r="1136" ht="13.5" customHeight="1" x14ac:dyDescent="0.25"/>
    <row r="1137" ht="13.5" customHeight="1" x14ac:dyDescent="0.25"/>
    <row r="1138" ht="13.5" customHeight="1" x14ac:dyDescent="0.25"/>
    <row r="1139" ht="13.5" customHeight="1" x14ac:dyDescent="0.25"/>
    <row r="1140" ht="13.5" customHeight="1" x14ac:dyDescent="0.25"/>
    <row r="1141" ht="13.5" customHeight="1" x14ac:dyDescent="0.25"/>
    <row r="1142" ht="13.5" customHeight="1" x14ac:dyDescent="0.25"/>
    <row r="1143" ht="13.5" customHeight="1" x14ac:dyDescent="0.25"/>
    <row r="1144" ht="13.5" customHeight="1" x14ac:dyDescent="0.25"/>
    <row r="1145" ht="13.5" customHeight="1" x14ac:dyDescent="0.25"/>
    <row r="1146" ht="13.5" customHeight="1" x14ac:dyDescent="0.25"/>
    <row r="1147" ht="13.5" customHeight="1" x14ac:dyDescent="0.25"/>
    <row r="1148" ht="13.5" customHeight="1" x14ac:dyDescent="0.25"/>
    <row r="1149" ht="13.5" customHeight="1" x14ac:dyDescent="0.25"/>
    <row r="1150" ht="13.5" customHeight="1" x14ac:dyDescent="0.25"/>
    <row r="1151" ht="13.5" customHeight="1" x14ac:dyDescent="0.25"/>
    <row r="1152" ht="13.5" customHeight="1" x14ac:dyDescent="0.25"/>
    <row r="1153" ht="13.5" customHeight="1" x14ac:dyDescent="0.25"/>
    <row r="1154" ht="13.5" customHeight="1" x14ac:dyDescent="0.25"/>
    <row r="1155" ht="13.5" customHeight="1" x14ac:dyDescent="0.25"/>
    <row r="1156" ht="13.5" customHeight="1" x14ac:dyDescent="0.25"/>
    <row r="1157" ht="13.5" customHeight="1" x14ac:dyDescent="0.25"/>
    <row r="1158" ht="13.5" customHeight="1" x14ac:dyDescent="0.25"/>
    <row r="1159" ht="13.5" customHeight="1" x14ac:dyDescent="0.25"/>
    <row r="1160" ht="13.5" customHeight="1" x14ac:dyDescent="0.25"/>
    <row r="1161" ht="13.5" customHeight="1" x14ac:dyDescent="0.25"/>
    <row r="1162" ht="13.5" customHeight="1" x14ac:dyDescent="0.25"/>
    <row r="1163" ht="13.5" customHeight="1" x14ac:dyDescent="0.25"/>
    <row r="1164" ht="13.5" customHeight="1" x14ac:dyDescent="0.25"/>
    <row r="1165" ht="13.5" customHeight="1" x14ac:dyDescent="0.25"/>
    <row r="1166" ht="13.5" customHeight="1" x14ac:dyDescent="0.25"/>
    <row r="1167" ht="13.5" customHeight="1" x14ac:dyDescent="0.25"/>
    <row r="1168" ht="13.5" customHeight="1" x14ac:dyDescent="0.25"/>
    <row r="1169" ht="13.5" customHeight="1" x14ac:dyDescent="0.25"/>
    <row r="1170" ht="13.5" customHeight="1" x14ac:dyDescent="0.25"/>
    <row r="1171" ht="13.5" customHeight="1" x14ac:dyDescent="0.25"/>
    <row r="1172" ht="13.5" customHeight="1" x14ac:dyDescent="0.25"/>
    <row r="1173" ht="13.5" customHeight="1" x14ac:dyDescent="0.25"/>
    <row r="1174" ht="13.5" customHeight="1" x14ac:dyDescent="0.25"/>
    <row r="1175" ht="13.5" customHeight="1" x14ac:dyDescent="0.25"/>
    <row r="1176" ht="13.5" customHeight="1" x14ac:dyDescent="0.25"/>
    <row r="1177" ht="13.5" customHeight="1" x14ac:dyDescent="0.25"/>
    <row r="1178" ht="13.5" customHeight="1" x14ac:dyDescent="0.25"/>
    <row r="1179" ht="13.5" customHeight="1" x14ac:dyDescent="0.25"/>
    <row r="1180" ht="13.5" customHeight="1" x14ac:dyDescent="0.25"/>
    <row r="1181" ht="13.5" customHeight="1" x14ac:dyDescent="0.25"/>
    <row r="1182" ht="13.5" customHeight="1" x14ac:dyDescent="0.25"/>
    <row r="1183" ht="13.5" customHeight="1" x14ac:dyDescent="0.25"/>
    <row r="1184" ht="13.5" customHeight="1" x14ac:dyDescent="0.25"/>
    <row r="1185" ht="13.5" customHeight="1" x14ac:dyDescent="0.25"/>
    <row r="1186" ht="13.5" customHeight="1" x14ac:dyDescent="0.25"/>
    <row r="1187" ht="13.5" customHeight="1" x14ac:dyDescent="0.25"/>
    <row r="1188" ht="13.5" customHeight="1" x14ac:dyDescent="0.25"/>
    <row r="1189" ht="13.5" customHeight="1" x14ac:dyDescent="0.25"/>
    <row r="1190" ht="13.5" customHeight="1" x14ac:dyDescent="0.25"/>
    <row r="1191" ht="13.5" customHeight="1" x14ac:dyDescent="0.25"/>
    <row r="1192" ht="13.5" customHeight="1" x14ac:dyDescent="0.25"/>
    <row r="1193" ht="13.5" customHeight="1" x14ac:dyDescent="0.25"/>
    <row r="1194" ht="13.5" customHeight="1" x14ac:dyDescent="0.25"/>
    <row r="1195" ht="13.5" customHeight="1" x14ac:dyDescent="0.25"/>
    <row r="1196" ht="13.5" customHeight="1" x14ac:dyDescent="0.25"/>
    <row r="1197" ht="13.5" customHeight="1" x14ac:dyDescent="0.25"/>
    <row r="1198" ht="13.5" customHeight="1" x14ac:dyDescent="0.25"/>
    <row r="1199" ht="13.5" customHeight="1" x14ac:dyDescent="0.25"/>
    <row r="1200" ht="13.5" customHeight="1" x14ac:dyDescent="0.25"/>
    <row r="1201" ht="13.5" customHeight="1" x14ac:dyDescent="0.25"/>
    <row r="1202" ht="13.5" customHeight="1" x14ac:dyDescent="0.25"/>
    <row r="1203" ht="13.5" customHeight="1" x14ac:dyDescent="0.25"/>
    <row r="1204" ht="13.5" customHeight="1" x14ac:dyDescent="0.25"/>
    <row r="1205" ht="13.5" customHeight="1" x14ac:dyDescent="0.25"/>
    <row r="1206" ht="13.5" customHeight="1" x14ac:dyDescent="0.25"/>
    <row r="1207" ht="13.5" customHeight="1" x14ac:dyDescent="0.25"/>
    <row r="1208" ht="13.5" customHeight="1" x14ac:dyDescent="0.25"/>
    <row r="1209" ht="13.5" customHeight="1" x14ac:dyDescent="0.25"/>
    <row r="1210" ht="13.5" customHeight="1" x14ac:dyDescent="0.25"/>
    <row r="1211" ht="13.5" customHeight="1" x14ac:dyDescent="0.25"/>
    <row r="1212" ht="13.5" customHeight="1" x14ac:dyDescent="0.25"/>
    <row r="1213" ht="13.5" customHeight="1" x14ac:dyDescent="0.25"/>
    <row r="1214" ht="13.5" customHeight="1" x14ac:dyDescent="0.25"/>
    <row r="1215" ht="13.5" customHeight="1" x14ac:dyDescent="0.25"/>
    <row r="1216" ht="13.5" customHeight="1" x14ac:dyDescent="0.25"/>
    <row r="1217" ht="13.5" customHeight="1" x14ac:dyDescent="0.25"/>
    <row r="1218" ht="13.5" customHeight="1" x14ac:dyDescent="0.25"/>
    <row r="1219" ht="13.5" customHeight="1" x14ac:dyDescent="0.25"/>
    <row r="1220" ht="13.5" customHeight="1" x14ac:dyDescent="0.25"/>
    <row r="1221" ht="13.5" customHeight="1" x14ac:dyDescent="0.25"/>
    <row r="1222" ht="13.5" customHeight="1" x14ac:dyDescent="0.25"/>
    <row r="1223" ht="13.5" customHeight="1" x14ac:dyDescent="0.25"/>
    <row r="1224" ht="13.5" customHeight="1" x14ac:dyDescent="0.25"/>
    <row r="1225" ht="13.5" customHeight="1" x14ac:dyDescent="0.25"/>
    <row r="1226" ht="13.5" customHeight="1" x14ac:dyDescent="0.25"/>
    <row r="1227" ht="13.5" customHeight="1" x14ac:dyDescent="0.25"/>
    <row r="1228" ht="13.5" customHeight="1" x14ac:dyDescent="0.25"/>
    <row r="1229" ht="13.5" customHeight="1" x14ac:dyDescent="0.25"/>
    <row r="1230" ht="13.5" customHeight="1" x14ac:dyDescent="0.25"/>
    <row r="1231" ht="13.5" customHeight="1" x14ac:dyDescent="0.25"/>
    <row r="1232" ht="13.5" customHeight="1" x14ac:dyDescent="0.25"/>
    <row r="1233" ht="13.5" customHeight="1" x14ac:dyDescent="0.25"/>
    <row r="1234" ht="13.5" customHeight="1" x14ac:dyDescent="0.25"/>
    <row r="1235" ht="13.5" customHeight="1" x14ac:dyDescent="0.25"/>
    <row r="1236" ht="13.5" customHeight="1" x14ac:dyDescent="0.25"/>
    <row r="1237" ht="13.5" customHeight="1" x14ac:dyDescent="0.25"/>
    <row r="1238" ht="13.5" customHeight="1" x14ac:dyDescent="0.25"/>
    <row r="1239" ht="13.5" customHeight="1" x14ac:dyDescent="0.25"/>
    <row r="1240" ht="13.5" customHeight="1" x14ac:dyDescent="0.25"/>
    <row r="1241" ht="13.5" customHeight="1" x14ac:dyDescent="0.25"/>
    <row r="1242" ht="13.5" customHeight="1" x14ac:dyDescent="0.25"/>
    <row r="1243" ht="13.5" customHeight="1" x14ac:dyDescent="0.25"/>
    <row r="1244" ht="13.5" customHeight="1" x14ac:dyDescent="0.25"/>
    <row r="1245" ht="13.5" customHeight="1" x14ac:dyDescent="0.25"/>
    <row r="1246" ht="13.5" customHeight="1" x14ac:dyDescent="0.25"/>
    <row r="1247" ht="13.5" customHeight="1" x14ac:dyDescent="0.25"/>
    <row r="1248" ht="13.5" customHeight="1" x14ac:dyDescent="0.25"/>
    <row r="1249" ht="13.5" customHeight="1" x14ac:dyDescent="0.25"/>
    <row r="1250" ht="13.5" customHeight="1" x14ac:dyDescent="0.25"/>
    <row r="1251" ht="13.5" customHeight="1" x14ac:dyDescent="0.25"/>
    <row r="1252" ht="13.5" customHeight="1" x14ac:dyDescent="0.25"/>
    <row r="1253" ht="13.5" customHeight="1" x14ac:dyDescent="0.25"/>
    <row r="1254" ht="13.5" customHeight="1" x14ac:dyDescent="0.25"/>
    <row r="1255" ht="13.5" customHeight="1" x14ac:dyDescent="0.25"/>
    <row r="1256" ht="13.5" customHeight="1" x14ac:dyDescent="0.25"/>
    <row r="1257" ht="13.5" customHeight="1" x14ac:dyDescent="0.25"/>
    <row r="1258" ht="13.5" customHeight="1" x14ac:dyDescent="0.25"/>
    <row r="1259" ht="13.5" customHeight="1" x14ac:dyDescent="0.25"/>
    <row r="1260" ht="13.5" customHeight="1" x14ac:dyDescent="0.25"/>
    <row r="1261" ht="13.5" customHeight="1" x14ac:dyDescent="0.25"/>
    <row r="1262" ht="13.5" customHeight="1" x14ac:dyDescent="0.25"/>
    <row r="1263" ht="13.5" customHeight="1" x14ac:dyDescent="0.25"/>
    <row r="1264" ht="13.5" customHeight="1" x14ac:dyDescent="0.25"/>
    <row r="1265" ht="13.5" customHeight="1" x14ac:dyDescent="0.25"/>
    <row r="1266" ht="13.5" customHeight="1" x14ac:dyDescent="0.25"/>
    <row r="1267" ht="13.5" customHeight="1" x14ac:dyDescent="0.25"/>
    <row r="1268" ht="13.5" customHeight="1" x14ac:dyDescent="0.25"/>
    <row r="1269" ht="13.5" customHeight="1" x14ac:dyDescent="0.25"/>
    <row r="1270" ht="13.5" customHeight="1" x14ac:dyDescent="0.25"/>
    <row r="1271" ht="13.5" customHeight="1" x14ac:dyDescent="0.25"/>
    <row r="1272" ht="13.5" customHeight="1" x14ac:dyDescent="0.25"/>
    <row r="1273" ht="13.5" customHeight="1" x14ac:dyDescent="0.25"/>
    <row r="1274" ht="13.5" customHeight="1" x14ac:dyDescent="0.25"/>
    <row r="1275" ht="13.5" customHeight="1" x14ac:dyDescent="0.25"/>
    <row r="1276" ht="13.5" customHeight="1" x14ac:dyDescent="0.25"/>
    <row r="1277" ht="13.5" customHeight="1" x14ac:dyDescent="0.25"/>
    <row r="1278" ht="13.5" customHeight="1" x14ac:dyDescent="0.25"/>
    <row r="1279" ht="13.5" customHeight="1" x14ac:dyDescent="0.25"/>
    <row r="1280" ht="13.5" customHeight="1" x14ac:dyDescent="0.25"/>
    <row r="1281" ht="13.5" customHeight="1" x14ac:dyDescent="0.25"/>
    <row r="1282" ht="13.5" customHeight="1" x14ac:dyDescent="0.25"/>
    <row r="1283" ht="13.5" customHeight="1" x14ac:dyDescent="0.25"/>
    <row r="1284" ht="13.5" customHeight="1" x14ac:dyDescent="0.25"/>
    <row r="1285" ht="13.5" customHeight="1" x14ac:dyDescent="0.25"/>
    <row r="1286" ht="13.5" customHeight="1" x14ac:dyDescent="0.25"/>
    <row r="1287" ht="13.5" customHeight="1" x14ac:dyDescent="0.25"/>
    <row r="1288" ht="13.5" customHeight="1" x14ac:dyDescent="0.25"/>
    <row r="1289" ht="13.5" customHeight="1" x14ac:dyDescent="0.25"/>
    <row r="1290" ht="13.5" customHeight="1" x14ac:dyDescent="0.25"/>
    <row r="1291" ht="13.5" customHeight="1" x14ac:dyDescent="0.25"/>
    <row r="1292" ht="13.5" customHeight="1" x14ac:dyDescent="0.25"/>
    <row r="1293" ht="13.5" customHeight="1" x14ac:dyDescent="0.25"/>
    <row r="1294" ht="13.5" customHeight="1" x14ac:dyDescent="0.25"/>
    <row r="1295" ht="13.5" customHeight="1" x14ac:dyDescent="0.25"/>
    <row r="1296" ht="13.5" customHeight="1" x14ac:dyDescent="0.25"/>
    <row r="1297" ht="13.5" customHeight="1" x14ac:dyDescent="0.25"/>
    <row r="1298" ht="13.5" customHeight="1" x14ac:dyDescent="0.25"/>
    <row r="1299" ht="13.5" customHeight="1" x14ac:dyDescent="0.25"/>
    <row r="1300" ht="13.5" customHeight="1" x14ac:dyDescent="0.25"/>
    <row r="1301" ht="13.5" customHeight="1" x14ac:dyDescent="0.25"/>
    <row r="1302" ht="13.5" customHeight="1" x14ac:dyDescent="0.25"/>
    <row r="1303" ht="13.5" customHeight="1" x14ac:dyDescent="0.25"/>
    <row r="1304" ht="13.5" customHeight="1" x14ac:dyDescent="0.25"/>
    <row r="1305" ht="13.5" customHeight="1" x14ac:dyDescent="0.25"/>
    <row r="1306" ht="13.5" customHeight="1" x14ac:dyDescent="0.25"/>
    <row r="1307" ht="13.5" customHeight="1" x14ac:dyDescent="0.25"/>
    <row r="1308" ht="13.5" customHeight="1" x14ac:dyDescent="0.25"/>
    <row r="1309" ht="13.5" customHeight="1" x14ac:dyDescent="0.25"/>
    <row r="1310" ht="13.5" customHeight="1" x14ac:dyDescent="0.25"/>
    <row r="1311" ht="13.5" customHeight="1" x14ac:dyDescent="0.25"/>
    <row r="1312" ht="13.5" customHeight="1" x14ac:dyDescent="0.25"/>
    <row r="1313" ht="13.5" customHeight="1" x14ac:dyDescent="0.25"/>
    <row r="1314" ht="13.5" customHeight="1" x14ac:dyDescent="0.25"/>
    <row r="1315" ht="13.5" customHeight="1" x14ac:dyDescent="0.25"/>
    <row r="1316" ht="13.5" customHeight="1" x14ac:dyDescent="0.25"/>
    <row r="1317" ht="13.5" customHeight="1" x14ac:dyDescent="0.25"/>
    <row r="1318" ht="13.5" customHeight="1" x14ac:dyDescent="0.25"/>
    <row r="1319" ht="13.5" customHeight="1" x14ac:dyDescent="0.25"/>
    <row r="1320" ht="13.5" customHeight="1" x14ac:dyDescent="0.25"/>
    <row r="1321" ht="13.5" customHeight="1" x14ac:dyDescent="0.25"/>
    <row r="1322" ht="13.5" customHeight="1" x14ac:dyDescent="0.25"/>
    <row r="1323" ht="13.5" customHeight="1" x14ac:dyDescent="0.25"/>
    <row r="1324" ht="13.5" customHeight="1" x14ac:dyDescent="0.25"/>
    <row r="1325" ht="13.5" customHeight="1" x14ac:dyDescent="0.25"/>
    <row r="1326" ht="13.5" customHeight="1" x14ac:dyDescent="0.25"/>
    <row r="1327" ht="13.5" customHeight="1" x14ac:dyDescent="0.25"/>
    <row r="1328" ht="13.5" customHeight="1" x14ac:dyDescent="0.25"/>
    <row r="1329" ht="13.5" customHeight="1" x14ac:dyDescent="0.25"/>
    <row r="1330" ht="13.5" customHeight="1" x14ac:dyDescent="0.25"/>
    <row r="1331" ht="13.5" customHeight="1" x14ac:dyDescent="0.25"/>
    <row r="1332" ht="13.5" customHeight="1" x14ac:dyDescent="0.25"/>
    <row r="1333" ht="13.5" customHeight="1" x14ac:dyDescent="0.25"/>
    <row r="1334" ht="13.5" customHeight="1" x14ac:dyDescent="0.25"/>
    <row r="1335" ht="13.5" customHeight="1" x14ac:dyDescent="0.25"/>
    <row r="1336" ht="13.5" customHeight="1" x14ac:dyDescent="0.25"/>
    <row r="1337" ht="13.5" customHeight="1" x14ac:dyDescent="0.25"/>
    <row r="1338" ht="13.5" customHeight="1" x14ac:dyDescent="0.25"/>
    <row r="1339" ht="13.5" customHeight="1" x14ac:dyDescent="0.25"/>
    <row r="1340" ht="13.5" customHeight="1" x14ac:dyDescent="0.25"/>
    <row r="1341" ht="13.5" customHeight="1" x14ac:dyDescent="0.25"/>
    <row r="1342" ht="13.5" customHeight="1" x14ac:dyDescent="0.25"/>
    <row r="1343" ht="13.5" customHeight="1" x14ac:dyDescent="0.25"/>
    <row r="1344" ht="13.5" customHeight="1" x14ac:dyDescent="0.25"/>
    <row r="1345" ht="13.5" customHeight="1" x14ac:dyDescent="0.25"/>
    <row r="1346" ht="13.5" customHeight="1" x14ac:dyDescent="0.25"/>
    <row r="1347" ht="13.5" customHeight="1" x14ac:dyDescent="0.25"/>
    <row r="1348" ht="13.5" customHeight="1" x14ac:dyDescent="0.25"/>
    <row r="1349" ht="13.5" customHeight="1" x14ac:dyDescent="0.25"/>
    <row r="1350" ht="13.5" customHeight="1" x14ac:dyDescent="0.25"/>
    <row r="1351" ht="13.5" customHeight="1" x14ac:dyDescent="0.25"/>
    <row r="1352" ht="13.5" customHeight="1" x14ac:dyDescent="0.25"/>
    <row r="1353" ht="13.5" customHeight="1" x14ac:dyDescent="0.25"/>
    <row r="1354" ht="13.5" customHeight="1" x14ac:dyDescent="0.25"/>
    <row r="1355" ht="13.5" customHeight="1" x14ac:dyDescent="0.25"/>
    <row r="1356" ht="13.5" customHeight="1" x14ac:dyDescent="0.25"/>
    <row r="1357" ht="13.5" customHeight="1" x14ac:dyDescent="0.25"/>
    <row r="1358" ht="13.5" customHeight="1" x14ac:dyDescent="0.25"/>
    <row r="1359" ht="13.5" customHeight="1" x14ac:dyDescent="0.25"/>
    <row r="1360" ht="13.5" customHeight="1" x14ac:dyDescent="0.25"/>
    <row r="1361" ht="13.5" customHeight="1" x14ac:dyDescent="0.25"/>
    <row r="1362" ht="13.5" customHeight="1" x14ac:dyDescent="0.25"/>
    <row r="1363" ht="13.5" customHeight="1" x14ac:dyDescent="0.25"/>
    <row r="1364" ht="13.5" customHeight="1" x14ac:dyDescent="0.25"/>
    <row r="1365" ht="13.5" customHeight="1" x14ac:dyDescent="0.25"/>
    <row r="1366" ht="13.5" customHeight="1" x14ac:dyDescent="0.25"/>
    <row r="1367" ht="13.5" customHeight="1" x14ac:dyDescent="0.25"/>
    <row r="1368" ht="13.5" customHeight="1" x14ac:dyDescent="0.25"/>
    <row r="1369" ht="13.5" customHeight="1" x14ac:dyDescent="0.25"/>
    <row r="1370" ht="13.5" customHeight="1" x14ac:dyDescent="0.25"/>
    <row r="1371" ht="13.5" customHeight="1" x14ac:dyDescent="0.25"/>
    <row r="1372" ht="13.5" customHeight="1" x14ac:dyDescent="0.25"/>
    <row r="1373" ht="13.5" customHeight="1" x14ac:dyDescent="0.25"/>
    <row r="1374" ht="13.5" customHeight="1" x14ac:dyDescent="0.25"/>
    <row r="1375" ht="13.5" customHeight="1" x14ac:dyDescent="0.25"/>
    <row r="1376" ht="13.5" customHeight="1" x14ac:dyDescent="0.25"/>
    <row r="1377" ht="13.5" customHeight="1" x14ac:dyDescent="0.25"/>
    <row r="1378" ht="13.5" customHeight="1" x14ac:dyDescent="0.25"/>
    <row r="1379" ht="13.5" customHeight="1" x14ac:dyDescent="0.25"/>
    <row r="1380" ht="13.5" customHeight="1" x14ac:dyDescent="0.25"/>
    <row r="1381" ht="13.5" customHeight="1" x14ac:dyDescent="0.25"/>
    <row r="1382" ht="13.5" customHeight="1" x14ac:dyDescent="0.25"/>
    <row r="1383" ht="13.5" customHeight="1" x14ac:dyDescent="0.25"/>
    <row r="1384" ht="13.5" customHeight="1" x14ac:dyDescent="0.25"/>
    <row r="1385" ht="13.5" customHeight="1" x14ac:dyDescent="0.25"/>
    <row r="1386" ht="13.5" customHeight="1" x14ac:dyDescent="0.25"/>
    <row r="1387" ht="13.5" customHeight="1" x14ac:dyDescent="0.25"/>
    <row r="1388" ht="13.5" customHeight="1" x14ac:dyDescent="0.25"/>
    <row r="1389" ht="13.5" customHeight="1" x14ac:dyDescent="0.25"/>
    <row r="1390" ht="13.5" customHeight="1" x14ac:dyDescent="0.25"/>
    <row r="1391" ht="13.5" customHeight="1" x14ac:dyDescent="0.25"/>
    <row r="1392" ht="13.5" customHeight="1" x14ac:dyDescent="0.25"/>
    <row r="1393" ht="13.5" customHeight="1" x14ac:dyDescent="0.25"/>
    <row r="1394" ht="13.5" customHeight="1" x14ac:dyDescent="0.25"/>
    <row r="1395" ht="13.5" customHeight="1" x14ac:dyDescent="0.25"/>
    <row r="1396" ht="13.5" customHeight="1" x14ac:dyDescent="0.25"/>
    <row r="1397" ht="13.5" customHeight="1" x14ac:dyDescent="0.25"/>
    <row r="1398" ht="13.5" customHeight="1" x14ac:dyDescent="0.25"/>
    <row r="1399" ht="13.5" customHeight="1" x14ac:dyDescent="0.25"/>
    <row r="1400" ht="13.5" customHeight="1" x14ac:dyDescent="0.25"/>
    <row r="1401" ht="13.5" customHeight="1" x14ac:dyDescent="0.25"/>
    <row r="1402" ht="13.5" customHeight="1" x14ac:dyDescent="0.25"/>
    <row r="1403" ht="13.5" customHeight="1" x14ac:dyDescent="0.25"/>
    <row r="1404" ht="13.5" customHeight="1" x14ac:dyDescent="0.25"/>
    <row r="1405" ht="13.5" customHeight="1" x14ac:dyDescent="0.25"/>
    <row r="1406" ht="13.5" customHeight="1" x14ac:dyDescent="0.25"/>
    <row r="1407" ht="13.5" customHeight="1" x14ac:dyDescent="0.25"/>
    <row r="1408" ht="13.5" customHeight="1" x14ac:dyDescent="0.25"/>
    <row r="1409" ht="13.5" customHeight="1" x14ac:dyDescent="0.25"/>
    <row r="1410" ht="13.5" customHeight="1" x14ac:dyDescent="0.25"/>
    <row r="1411" ht="13.5" customHeight="1" x14ac:dyDescent="0.25"/>
    <row r="1412" ht="13.5" customHeight="1" x14ac:dyDescent="0.25"/>
    <row r="1413" ht="13.5" customHeight="1" x14ac:dyDescent="0.25"/>
    <row r="1414" ht="13.5" customHeight="1" x14ac:dyDescent="0.25"/>
    <row r="1415" ht="13.5" customHeight="1" x14ac:dyDescent="0.25"/>
    <row r="1416" ht="13.5" customHeight="1" x14ac:dyDescent="0.25"/>
    <row r="1417" ht="13.5" customHeight="1" x14ac:dyDescent="0.25"/>
    <row r="1418" ht="13.5" customHeight="1" x14ac:dyDescent="0.25"/>
    <row r="1419" ht="13.5" customHeight="1" x14ac:dyDescent="0.25"/>
    <row r="1420" ht="13.5" customHeight="1" x14ac:dyDescent="0.25"/>
    <row r="1421" ht="13.5" customHeight="1" x14ac:dyDescent="0.25"/>
    <row r="1422" ht="13.5" customHeight="1" x14ac:dyDescent="0.25"/>
    <row r="1423" ht="13.5" customHeight="1" x14ac:dyDescent="0.25"/>
    <row r="1424" ht="13.5" customHeight="1" x14ac:dyDescent="0.25"/>
    <row r="1425" ht="13.5" customHeight="1" x14ac:dyDescent="0.25"/>
    <row r="1426" ht="13.5" customHeight="1" x14ac:dyDescent="0.25"/>
    <row r="1427" ht="13.5" customHeight="1" x14ac:dyDescent="0.25"/>
    <row r="1428" ht="13.5" customHeight="1" x14ac:dyDescent="0.25"/>
    <row r="1429" ht="13.5" customHeight="1" x14ac:dyDescent="0.25"/>
    <row r="1430" ht="13.5" customHeight="1" x14ac:dyDescent="0.25"/>
    <row r="1431" ht="13.5" customHeight="1" x14ac:dyDescent="0.25"/>
    <row r="1432" ht="13.5" customHeight="1" x14ac:dyDescent="0.25"/>
    <row r="1433" ht="13.5" customHeight="1" x14ac:dyDescent="0.25"/>
    <row r="1434" ht="13.5" customHeight="1" x14ac:dyDescent="0.25"/>
    <row r="1435" ht="13.5" customHeight="1" x14ac:dyDescent="0.25"/>
    <row r="1436" ht="13.5" customHeight="1" x14ac:dyDescent="0.25"/>
    <row r="1437" ht="13.5" customHeight="1" x14ac:dyDescent="0.25"/>
    <row r="1438" ht="13.5" customHeight="1" x14ac:dyDescent="0.25"/>
    <row r="1439" ht="13.5" customHeight="1" x14ac:dyDescent="0.25"/>
    <row r="1440" ht="13.5" customHeight="1" x14ac:dyDescent="0.25"/>
    <row r="1441" ht="13.5" customHeight="1" x14ac:dyDescent="0.25"/>
    <row r="1442" ht="13.5" customHeight="1" x14ac:dyDescent="0.25"/>
    <row r="1443" ht="13.5" customHeight="1" x14ac:dyDescent="0.25"/>
    <row r="1444" ht="13.5" customHeight="1" x14ac:dyDescent="0.25"/>
    <row r="1445" ht="13.5" customHeight="1" x14ac:dyDescent="0.25"/>
    <row r="1446" ht="13.5" customHeight="1" x14ac:dyDescent="0.25"/>
    <row r="1447" ht="13.5" customHeight="1" x14ac:dyDescent="0.25"/>
    <row r="1448" ht="13.5" customHeight="1" x14ac:dyDescent="0.25"/>
    <row r="1449" ht="13.5" customHeight="1" x14ac:dyDescent="0.25"/>
    <row r="1450" ht="13.5" customHeight="1" x14ac:dyDescent="0.25"/>
    <row r="1451" ht="13.5" customHeight="1" x14ac:dyDescent="0.25"/>
    <row r="1452" ht="13.5" customHeight="1" x14ac:dyDescent="0.25"/>
    <row r="1453" ht="13.5" customHeight="1" x14ac:dyDescent="0.25"/>
    <row r="1454" ht="13.5" customHeight="1" x14ac:dyDescent="0.25"/>
    <row r="1455" ht="13.5" customHeight="1" x14ac:dyDescent="0.25"/>
    <row r="1456" ht="13.5" customHeight="1" x14ac:dyDescent="0.25"/>
    <row r="1457" ht="13.5" customHeight="1" x14ac:dyDescent="0.25"/>
    <row r="1458" ht="13.5" customHeight="1" x14ac:dyDescent="0.25"/>
    <row r="1459" ht="13.5" customHeight="1" x14ac:dyDescent="0.25"/>
    <row r="1460" ht="13.5" customHeight="1" x14ac:dyDescent="0.25"/>
    <row r="1461" ht="13.5" customHeight="1" x14ac:dyDescent="0.25"/>
    <row r="1462" ht="13.5" customHeight="1" x14ac:dyDescent="0.25"/>
    <row r="1463" ht="13.5" customHeight="1" x14ac:dyDescent="0.25"/>
    <row r="1464" ht="13.5" customHeight="1" x14ac:dyDescent="0.25"/>
    <row r="1465" ht="13.5" customHeight="1" x14ac:dyDescent="0.25"/>
    <row r="1466" ht="13.5" customHeight="1" x14ac:dyDescent="0.25"/>
    <row r="1467" ht="13.5" customHeight="1" x14ac:dyDescent="0.25"/>
    <row r="1468" ht="13.5" customHeight="1" x14ac:dyDescent="0.25"/>
    <row r="1469" ht="13.5" customHeight="1" x14ac:dyDescent="0.25"/>
    <row r="1470" ht="13.5" customHeight="1" x14ac:dyDescent="0.25"/>
    <row r="1471" ht="13.5" customHeight="1" x14ac:dyDescent="0.25"/>
    <row r="1472" ht="13.5" customHeight="1" x14ac:dyDescent="0.25"/>
    <row r="1473" ht="13.5" customHeight="1" x14ac:dyDescent="0.25"/>
    <row r="1474" ht="13.5" customHeight="1" x14ac:dyDescent="0.25"/>
    <row r="1475" ht="13.5" customHeight="1" x14ac:dyDescent="0.25"/>
    <row r="1476" ht="13.5" customHeight="1" x14ac:dyDescent="0.25"/>
    <row r="1477" ht="13.5" customHeight="1" x14ac:dyDescent="0.25"/>
    <row r="1478" ht="13.5" customHeight="1" x14ac:dyDescent="0.25"/>
    <row r="1479" ht="13.5" customHeight="1" x14ac:dyDescent="0.25"/>
    <row r="1480" ht="13.5" customHeight="1" x14ac:dyDescent="0.25"/>
    <row r="1481" ht="13.5" customHeight="1" x14ac:dyDescent="0.25"/>
    <row r="1482" ht="13.5" customHeight="1" x14ac:dyDescent="0.25"/>
    <row r="1483" ht="13.5" customHeight="1" x14ac:dyDescent="0.25"/>
    <row r="1484" ht="13.5" customHeight="1" x14ac:dyDescent="0.25"/>
    <row r="1485" ht="13.5" customHeight="1" x14ac:dyDescent="0.25"/>
    <row r="1486" ht="13.5" customHeight="1" x14ac:dyDescent="0.25"/>
    <row r="1487" ht="13.5" customHeight="1" x14ac:dyDescent="0.25"/>
    <row r="1488" ht="13.5" customHeight="1" x14ac:dyDescent="0.25"/>
    <row r="1489" ht="13.5" customHeight="1" x14ac:dyDescent="0.25"/>
    <row r="1490" ht="13.5" customHeight="1" x14ac:dyDescent="0.25"/>
    <row r="1491" ht="13.5" customHeight="1" x14ac:dyDescent="0.25"/>
    <row r="1492" ht="13.5" customHeight="1" x14ac:dyDescent="0.25"/>
    <row r="1493" ht="13.5" customHeight="1" x14ac:dyDescent="0.25"/>
    <row r="1494" ht="13.5" customHeight="1" x14ac:dyDescent="0.25"/>
    <row r="1495" ht="13.5" customHeight="1" x14ac:dyDescent="0.25"/>
    <row r="1496" ht="13.5" customHeight="1" x14ac:dyDescent="0.25"/>
    <row r="1497" ht="13.5" customHeight="1" x14ac:dyDescent="0.25"/>
    <row r="1498" ht="13.5" customHeight="1" x14ac:dyDescent="0.25"/>
    <row r="1499" ht="13.5" customHeight="1" x14ac:dyDescent="0.25"/>
    <row r="1500" ht="13.5" customHeight="1" x14ac:dyDescent="0.25"/>
    <row r="1501" ht="13.5" customHeight="1" x14ac:dyDescent="0.25"/>
    <row r="1502" ht="13.5" customHeight="1" x14ac:dyDescent="0.25"/>
    <row r="1503" ht="13.5" customHeight="1" x14ac:dyDescent="0.25"/>
    <row r="1504" ht="13.5" customHeight="1" x14ac:dyDescent="0.25"/>
    <row r="1505" ht="13.5" customHeight="1" x14ac:dyDescent="0.25"/>
    <row r="1506" ht="13.5" customHeight="1" x14ac:dyDescent="0.25"/>
    <row r="1507" ht="13.5" customHeight="1" x14ac:dyDescent="0.25"/>
    <row r="1508" ht="13.5" customHeight="1" x14ac:dyDescent="0.25"/>
    <row r="1509" ht="13.5" customHeight="1" x14ac:dyDescent="0.25"/>
    <row r="1510" ht="13.5" customHeight="1" x14ac:dyDescent="0.25"/>
    <row r="1511" ht="13.5" customHeight="1" x14ac:dyDescent="0.25"/>
    <row r="1512" ht="13.5" customHeight="1" x14ac:dyDescent="0.25"/>
    <row r="1513" ht="13.5" customHeight="1" x14ac:dyDescent="0.25"/>
    <row r="1514" ht="13.5" customHeight="1" x14ac:dyDescent="0.25"/>
    <row r="1515" ht="13.5" customHeight="1" x14ac:dyDescent="0.25"/>
    <row r="1516" ht="13.5" customHeight="1" x14ac:dyDescent="0.25"/>
    <row r="1517" ht="13.5" customHeight="1" x14ac:dyDescent="0.25"/>
    <row r="1518" ht="13.5" customHeight="1" x14ac:dyDescent="0.25"/>
    <row r="1519" ht="13.5" customHeight="1" x14ac:dyDescent="0.25"/>
    <row r="1520" ht="13.5" customHeight="1" x14ac:dyDescent="0.25"/>
    <row r="1521" ht="13.5" customHeight="1" x14ac:dyDescent="0.25"/>
    <row r="1522" ht="13.5" customHeight="1" x14ac:dyDescent="0.25"/>
    <row r="1523" ht="13.5" customHeight="1" x14ac:dyDescent="0.25"/>
    <row r="1524" ht="13.5" customHeight="1" x14ac:dyDescent="0.25"/>
    <row r="1525" ht="13.5" customHeight="1" x14ac:dyDescent="0.25"/>
    <row r="1526" ht="13.5" customHeight="1" x14ac:dyDescent="0.25"/>
    <row r="1527" ht="13.5" customHeight="1" x14ac:dyDescent="0.25"/>
    <row r="1528" ht="13.5" customHeight="1" x14ac:dyDescent="0.25"/>
    <row r="1529" ht="13.5" customHeight="1" x14ac:dyDescent="0.25"/>
    <row r="1530" ht="13.5" customHeight="1" x14ac:dyDescent="0.25"/>
    <row r="1531" ht="13.5" customHeight="1" x14ac:dyDescent="0.25"/>
    <row r="1532" ht="13.5" customHeight="1" x14ac:dyDescent="0.25"/>
    <row r="1533" ht="13.5" customHeight="1" x14ac:dyDescent="0.25"/>
    <row r="1534" ht="13.5" customHeight="1" x14ac:dyDescent="0.25"/>
    <row r="1535" ht="13.5" customHeight="1" x14ac:dyDescent="0.25"/>
    <row r="1536" ht="13.5" customHeight="1" x14ac:dyDescent="0.25"/>
    <row r="1537" ht="13.5" customHeight="1" x14ac:dyDescent="0.25"/>
    <row r="1538" ht="13.5" customHeight="1" x14ac:dyDescent="0.25"/>
    <row r="1539" ht="13.5" customHeight="1" x14ac:dyDescent="0.25"/>
    <row r="1540" ht="13.5" customHeight="1" x14ac:dyDescent="0.25"/>
    <row r="1541" ht="13.5" customHeight="1" x14ac:dyDescent="0.25"/>
    <row r="1542" ht="13.5" customHeight="1" x14ac:dyDescent="0.25"/>
    <row r="1543" ht="13.5" customHeight="1" x14ac:dyDescent="0.25"/>
    <row r="1544" ht="13.5" customHeight="1" x14ac:dyDescent="0.25"/>
    <row r="1545" ht="13.5" customHeight="1" x14ac:dyDescent="0.25"/>
    <row r="1546" ht="13.5" customHeight="1" x14ac:dyDescent="0.25"/>
    <row r="1547" ht="13.5" customHeight="1" x14ac:dyDescent="0.25"/>
    <row r="1548" ht="13.5" customHeight="1" x14ac:dyDescent="0.25"/>
    <row r="1549" ht="13.5" customHeight="1" x14ac:dyDescent="0.25"/>
    <row r="1550" ht="13.5" customHeight="1" x14ac:dyDescent="0.25"/>
    <row r="1551" ht="13.5" customHeight="1" x14ac:dyDescent="0.25"/>
    <row r="1552" ht="13.5" customHeight="1" x14ac:dyDescent="0.25"/>
    <row r="1553" ht="13.5" customHeight="1" x14ac:dyDescent="0.25"/>
    <row r="1554" ht="13.5" customHeight="1" x14ac:dyDescent="0.25"/>
    <row r="1555" ht="13.5" customHeight="1" x14ac:dyDescent="0.25"/>
    <row r="1556" ht="13.5" customHeight="1" x14ac:dyDescent="0.25"/>
    <row r="1557" ht="13.5" customHeight="1" x14ac:dyDescent="0.25"/>
    <row r="1558" ht="13.5" customHeight="1" x14ac:dyDescent="0.25"/>
    <row r="1559" ht="13.5" customHeight="1" x14ac:dyDescent="0.25"/>
    <row r="1560" ht="13.5" customHeight="1" x14ac:dyDescent="0.25"/>
    <row r="1561" ht="13.5" customHeight="1" x14ac:dyDescent="0.25"/>
    <row r="1562" ht="13.5" customHeight="1" x14ac:dyDescent="0.25"/>
    <row r="1563" ht="13.5" customHeight="1" x14ac:dyDescent="0.25"/>
    <row r="1564" ht="13.5" customHeight="1" x14ac:dyDescent="0.25"/>
    <row r="1565" ht="13.5" customHeight="1" x14ac:dyDescent="0.25"/>
    <row r="1566" ht="13.5" customHeight="1" x14ac:dyDescent="0.25"/>
    <row r="1567" ht="13.5" customHeight="1" x14ac:dyDescent="0.25"/>
    <row r="1568" ht="13.5" customHeight="1" x14ac:dyDescent="0.25"/>
    <row r="1569" ht="13.5" customHeight="1" x14ac:dyDescent="0.25"/>
    <row r="1570" ht="13.5" customHeight="1" x14ac:dyDescent="0.25"/>
    <row r="1571" ht="13.5" customHeight="1" x14ac:dyDescent="0.25"/>
    <row r="1572" ht="13.5" customHeight="1" x14ac:dyDescent="0.25"/>
    <row r="1573" ht="13.5" customHeight="1" x14ac:dyDescent="0.25"/>
    <row r="1574" ht="13.5" customHeight="1" x14ac:dyDescent="0.25"/>
    <row r="1575" ht="13.5" customHeight="1" x14ac:dyDescent="0.25"/>
    <row r="1576" ht="13.5" customHeight="1" x14ac:dyDescent="0.25"/>
    <row r="1577" ht="13.5" customHeight="1" x14ac:dyDescent="0.25"/>
    <row r="1578" ht="13.5" customHeight="1" x14ac:dyDescent="0.25"/>
    <row r="1579" ht="13.5" customHeight="1" x14ac:dyDescent="0.25"/>
    <row r="1580" ht="13.5" customHeight="1" x14ac:dyDescent="0.25"/>
    <row r="1581" ht="13.5" customHeight="1" x14ac:dyDescent="0.25"/>
    <row r="1582" ht="13.5" customHeight="1" x14ac:dyDescent="0.25"/>
    <row r="1583" ht="13.5" customHeight="1" x14ac:dyDescent="0.25"/>
    <row r="1584" ht="13.5" customHeight="1" x14ac:dyDescent="0.25"/>
    <row r="1585" ht="13.5" customHeight="1" x14ac:dyDescent="0.25"/>
    <row r="1586" ht="13.5" customHeight="1" x14ac:dyDescent="0.25"/>
    <row r="1587" ht="13.5" customHeight="1" x14ac:dyDescent="0.25"/>
    <row r="1588" ht="13.5" customHeight="1" x14ac:dyDescent="0.25"/>
    <row r="1589" ht="13.5" customHeight="1" x14ac:dyDescent="0.25"/>
    <row r="1590" ht="13.5" customHeight="1" x14ac:dyDescent="0.25"/>
    <row r="1591" ht="13.5" customHeight="1" x14ac:dyDescent="0.25"/>
    <row r="1592" ht="13.5" customHeight="1" x14ac:dyDescent="0.25"/>
    <row r="1593" ht="13.5" customHeight="1" x14ac:dyDescent="0.25"/>
    <row r="1594" ht="13.5" customHeight="1" x14ac:dyDescent="0.25"/>
    <row r="1595" ht="13.5" customHeight="1" x14ac:dyDescent="0.25"/>
    <row r="1596" ht="13.5" customHeight="1" x14ac:dyDescent="0.25"/>
    <row r="1597" ht="13.5" customHeight="1" x14ac:dyDescent="0.25"/>
    <row r="1598" ht="13.5" customHeight="1" x14ac:dyDescent="0.25"/>
    <row r="1599" ht="13.5" customHeight="1" x14ac:dyDescent="0.25"/>
    <row r="1600" ht="13.5" customHeight="1" x14ac:dyDescent="0.25"/>
    <row r="1601" ht="13.5" customHeight="1" x14ac:dyDescent="0.25"/>
    <row r="1602" ht="13.5" customHeight="1" x14ac:dyDescent="0.25"/>
    <row r="1603" ht="13.5" customHeight="1" x14ac:dyDescent="0.25"/>
    <row r="1604" ht="13.5" customHeight="1" x14ac:dyDescent="0.25"/>
    <row r="1605" ht="13.5" customHeight="1" x14ac:dyDescent="0.25"/>
    <row r="1606" ht="13.5" customHeight="1" x14ac:dyDescent="0.25"/>
    <row r="1607" ht="13.5" customHeight="1" x14ac:dyDescent="0.25"/>
    <row r="1608" ht="13.5" customHeight="1" x14ac:dyDescent="0.25"/>
    <row r="1609" ht="13.5" customHeight="1" x14ac:dyDescent="0.25"/>
    <row r="1610" ht="13.5" customHeight="1" x14ac:dyDescent="0.25"/>
    <row r="1611" ht="13.5" customHeight="1" x14ac:dyDescent="0.25"/>
    <row r="1612" ht="13.5" customHeight="1" x14ac:dyDescent="0.25"/>
    <row r="1613" ht="13.5" customHeight="1" x14ac:dyDescent="0.25"/>
    <row r="1614" ht="13.5" customHeight="1" x14ac:dyDescent="0.25"/>
    <row r="1615" ht="13.5" customHeight="1" x14ac:dyDescent="0.25"/>
    <row r="1616" ht="13.5" customHeight="1" x14ac:dyDescent="0.25"/>
    <row r="1617" ht="13.5" customHeight="1" x14ac:dyDescent="0.25"/>
    <row r="1618" ht="13.5" customHeight="1" x14ac:dyDescent="0.25"/>
    <row r="1619" ht="13.5" customHeight="1" x14ac:dyDescent="0.25"/>
    <row r="1620" ht="13.5" customHeight="1" x14ac:dyDescent="0.25"/>
    <row r="1621" ht="13.5" customHeight="1" x14ac:dyDescent="0.25"/>
    <row r="1622" ht="13.5" customHeight="1" x14ac:dyDescent="0.25"/>
    <row r="1623" ht="13.5" customHeight="1" x14ac:dyDescent="0.25"/>
    <row r="1624" ht="13.5" customHeight="1" x14ac:dyDescent="0.25"/>
    <row r="1625" ht="13.5" customHeight="1" x14ac:dyDescent="0.25"/>
    <row r="1626" ht="13.5" customHeight="1" x14ac:dyDescent="0.25"/>
    <row r="1627" ht="13.5" customHeight="1" x14ac:dyDescent="0.25"/>
    <row r="1628" ht="13.5" customHeight="1" x14ac:dyDescent="0.25"/>
    <row r="1629" ht="13.5" customHeight="1" x14ac:dyDescent="0.25"/>
    <row r="1630" ht="13.5" customHeight="1" x14ac:dyDescent="0.25"/>
    <row r="1631" ht="13.5" customHeight="1" x14ac:dyDescent="0.25"/>
    <row r="1632" ht="13.5" customHeight="1" x14ac:dyDescent="0.25"/>
    <row r="1633" ht="13.5" customHeight="1" x14ac:dyDescent="0.25"/>
    <row r="1634" ht="13.5" customHeight="1" x14ac:dyDescent="0.25"/>
    <row r="1635" ht="13.5" customHeight="1" x14ac:dyDescent="0.25"/>
    <row r="1636" ht="13.5" customHeight="1" x14ac:dyDescent="0.25"/>
    <row r="1637" ht="13.5" customHeight="1" x14ac:dyDescent="0.25"/>
    <row r="1638" ht="13.5" customHeight="1" x14ac:dyDescent="0.25"/>
    <row r="1639" ht="13.5" customHeight="1" x14ac:dyDescent="0.25"/>
    <row r="1640" ht="13.5" customHeight="1" x14ac:dyDescent="0.25"/>
    <row r="1641" ht="13.5" customHeight="1" x14ac:dyDescent="0.25"/>
    <row r="1642" ht="13.5" customHeight="1" x14ac:dyDescent="0.25"/>
    <row r="1643" ht="13.5" customHeight="1" x14ac:dyDescent="0.25"/>
    <row r="1644" ht="13.5" customHeight="1" x14ac:dyDescent="0.25"/>
    <row r="1645" ht="13.5" customHeight="1" x14ac:dyDescent="0.25"/>
    <row r="1646" ht="13.5" customHeight="1" x14ac:dyDescent="0.25"/>
    <row r="1647" ht="13.5" customHeight="1" x14ac:dyDescent="0.25"/>
    <row r="1648" ht="13.5" customHeight="1" x14ac:dyDescent="0.25"/>
    <row r="1649" ht="13.5" customHeight="1" x14ac:dyDescent="0.25"/>
    <row r="1650" ht="13.5" customHeight="1" x14ac:dyDescent="0.25"/>
    <row r="1651" ht="13.5" customHeight="1" x14ac:dyDescent="0.25"/>
    <row r="1652" ht="13.5" customHeight="1" x14ac:dyDescent="0.25"/>
    <row r="1653" ht="13.5" customHeight="1" x14ac:dyDescent="0.25"/>
    <row r="1654" ht="13.5" customHeight="1" x14ac:dyDescent="0.25"/>
    <row r="1655" ht="13.5" customHeight="1" x14ac:dyDescent="0.25"/>
    <row r="1656" ht="13.5" customHeight="1" x14ac:dyDescent="0.25"/>
    <row r="1657" ht="13.5" customHeight="1" x14ac:dyDescent="0.25"/>
    <row r="1658" ht="13.5" customHeight="1" x14ac:dyDescent="0.25"/>
    <row r="1659" ht="13.5" customHeight="1" x14ac:dyDescent="0.25"/>
    <row r="1660" ht="13.5" customHeight="1" x14ac:dyDescent="0.25"/>
    <row r="1661" ht="13.5" customHeight="1" x14ac:dyDescent="0.25"/>
    <row r="1662" ht="13.5" customHeight="1" x14ac:dyDescent="0.25"/>
    <row r="1663" ht="13.5" customHeight="1" x14ac:dyDescent="0.25"/>
    <row r="1664" ht="13.5" customHeight="1" x14ac:dyDescent="0.25"/>
    <row r="1665" ht="13.5" customHeight="1" x14ac:dyDescent="0.25"/>
    <row r="1666" ht="13.5" customHeight="1" x14ac:dyDescent="0.25"/>
    <row r="1667" ht="13.5" customHeight="1" x14ac:dyDescent="0.25"/>
    <row r="1668" ht="13.5" customHeight="1" x14ac:dyDescent="0.25"/>
    <row r="1669" ht="13.5" customHeight="1" x14ac:dyDescent="0.25"/>
    <row r="1670" ht="13.5" customHeight="1" x14ac:dyDescent="0.25"/>
    <row r="1671" ht="13.5" customHeight="1" x14ac:dyDescent="0.25"/>
    <row r="1672" ht="13.5" customHeight="1" x14ac:dyDescent="0.25"/>
    <row r="1673" ht="13.5" customHeight="1" x14ac:dyDescent="0.25"/>
    <row r="1674" ht="13.5" customHeight="1" x14ac:dyDescent="0.25"/>
    <row r="1675" ht="13.5" customHeight="1" x14ac:dyDescent="0.25"/>
    <row r="1676" ht="13.5" customHeight="1" x14ac:dyDescent="0.25"/>
    <row r="1677" ht="13.5" customHeight="1" x14ac:dyDescent="0.25"/>
    <row r="1678" ht="13.5" customHeight="1" x14ac:dyDescent="0.25"/>
    <row r="1679" ht="13.5" customHeight="1" x14ac:dyDescent="0.25"/>
    <row r="1680" ht="13.5" customHeight="1" x14ac:dyDescent="0.25"/>
    <row r="1681" ht="13.5" customHeight="1" x14ac:dyDescent="0.25"/>
    <row r="1682" ht="13.5" customHeight="1" x14ac:dyDescent="0.25"/>
    <row r="1683" ht="13.5" customHeight="1" x14ac:dyDescent="0.25"/>
    <row r="1684" ht="13.5" customHeight="1" x14ac:dyDescent="0.25"/>
    <row r="1685" ht="13.5" customHeight="1" x14ac:dyDescent="0.25"/>
    <row r="1686" ht="13.5" customHeight="1" x14ac:dyDescent="0.25"/>
    <row r="1687" ht="13.5" customHeight="1" x14ac:dyDescent="0.25"/>
    <row r="1688" ht="13.5" customHeight="1" x14ac:dyDescent="0.25"/>
    <row r="1689" ht="13.5" customHeight="1" x14ac:dyDescent="0.25"/>
    <row r="1690" ht="13.5" customHeight="1" x14ac:dyDescent="0.25"/>
    <row r="1691" ht="13.5" customHeight="1" x14ac:dyDescent="0.25"/>
    <row r="1692" ht="13.5" customHeight="1" x14ac:dyDescent="0.25"/>
    <row r="1693" ht="13.5" customHeight="1" x14ac:dyDescent="0.25"/>
    <row r="1694" ht="13.5" customHeight="1" x14ac:dyDescent="0.25"/>
    <row r="1695" ht="13.5" customHeight="1" x14ac:dyDescent="0.25"/>
    <row r="1696" ht="13.5" customHeight="1" x14ac:dyDescent="0.25"/>
    <row r="1697" ht="13.5" customHeight="1" x14ac:dyDescent="0.25"/>
    <row r="1698" ht="13.5" customHeight="1" x14ac:dyDescent="0.25"/>
    <row r="1699" ht="13.5" customHeight="1" x14ac:dyDescent="0.25"/>
    <row r="1700" ht="13.5" customHeight="1" x14ac:dyDescent="0.25"/>
    <row r="1701" ht="13.5" customHeight="1" x14ac:dyDescent="0.25"/>
    <row r="1702" ht="13.5" customHeight="1" x14ac:dyDescent="0.25"/>
    <row r="1703" ht="13.5" customHeight="1" x14ac:dyDescent="0.25"/>
    <row r="1704" ht="13.5" customHeight="1" x14ac:dyDescent="0.25"/>
    <row r="1705" ht="13.5" customHeight="1" x14ac:dyDescent="0.25"/>
    <row r="1706" ht="13.5" customHeight="1" x14ac:dyDescent="0.25"/>
    <row r="1707" ht="13.5" customHeight="1" x14ac:dyDescent="0.25"/>
    <row r="1708" ht="13.5" customHeight="1" x14ac:dyDescent="0.25"/>
    <row r="1709" ht="13.5" customHeight="1" x14ac:dyDescent="0.25"/>
    <row r="1710" ht="13.5" customHeight="1" x14ac:dyDescent="0.25"/>
    <row r="1711" ht="13.5" customHeight="1" x14ac:dyDescent="0.25"/>
    <row r="1712" ht="13.5" customHeight="1" x14ac:dyDescent="0.25"/>
    <row r="1713" ht="13.5" customHeight="1" x14ac:dyDescent="0.25"/>
    <row r="1714" ht="13.5" customHeight="1" x14ac:dyDescent="0.25"/>
    <row r="1715" ht="13.5" customHeight="1" x14ac:dyDescent="0.25"/>
    <row r="1716" ht="13.5" customHeight="1" x14ac:dyDescent="0.25"/>
    <row r="1717" ht="13.5" customHeight="1" x14ac:dyDescent="0.25"/>
    <row r="1718" ht="13.5" customHeight="1" x14ac:dyDescent="0.25"/>
    <row r="1719" ht="13.5" customHeight="1" x14ac:dyDescent="0.25"/>
    <row r="1720" ht="13.5" customHeight="1" x14ac:dyDescent="0.25"/>
    <row r="1721" ht="13.5" customHeight="1" x14ac:dyDescent="0.25"/>
    <row r="1722" ht="13.5" customHeight="1" x14ac:dyDescent="0.25"/>
    <row r="1723" ht="13.5" customHeight="1" x14ac:dyDescent="0.25"/>
    <row r="1724" ht="13.5" customHeight="1" x14ac:dyDescent="0.25"/>
    <row r="1725" ht="13.5" customHeight="1" x14ac:dyDescent="0.25"/>
    <row r="1726" ht="13.5" customHeight="1" x14ac:dyDescent="0.25"/>
    <row r="1727" ht="13.5" customHeight="1" x14ac:dyDescent="0.25"/>
    <row r="1728" ht="13.5" customHeight="1" x14ac:dyDescent="0.25"/>
    <row r="1729" ht="13.5" customHeight="1" x14ac:dyDescent="0.25"/>
    <row r="1730" ht="13.5" customHeight="1" x14ac:dyDescent="0.25"/>
    <row r="1731" ht="13.5" customHeight="1" x14ac:dyDescent="0.25"/>
    <row r="1732" ht="13.5" customHeight="1" x14ac:dyDescent="0.25"/>
    <row r="1733" ht="13.5" customHeight="1" x14ac:dyDescent="0.25"/>
    <row r="1734" ht="13.5" customHeight="1" x14ac:dyDescent="0.25"/>
    <row r="1735" ht="13.5" customHeight="1" x14ac:dyDescent="0.25"/>
    <row r="1736" ht="13.5" customHeight="1" x14ac:dyDescent="0.25"/>
    <row r="1737" ht="13.5" customHeight="1" x14ac:dyDescent="0.25"/>
    <row r="1738" ht="13.5" customHeight="1" x14ac:dyDescent="0.25"/>
    <row r="1739" ht="13.5" customHeight="1" x14ac:dyDescent="0.25"/>
    <row r="1740" ht="13.5" customHeight="1" x14ac:dyDescent="0.25"/>
    <row r="1741" ht="13.5" customHeight="1" x14ac:dyDescent="0.25"/>
    <row r="1742" ht="13.5" customHeight="1" x14ac:dyDescent="0.25"/>
    <row r="1743" ht="13.5" customHeight="1" x14ac:dyDescent="0.25"/>
    <row r="1744" ht="13.5" customHeight="1" x14ac:dyDescent="0.25"/>
    <row r="1745" ht="13.5" customHeight="1" x14ac:dyDescent="0.25"/>
    <row r="1746" ht="13.5" customHeight="1" x14ac:dyDescent="0.25"/>
    <row r="1747" ht="13.5" customHeight="1" x14ac:dyDescent="0.25"/>
    <row r="1748" ht="13.5" customHeight="1" x14ac:dyDescent="0.25"/>
    <row r="1749" ht="13.5" customHeight="1" x14ac:dyDescent="0.25"/>
    <row r="1750" ht="13.5" customHeight="1" x14ac:dyDescent="0.25"/>
    <row r="1751" ht="13.5" customHeight="1" x14ac:dyDescent="0.25"/>
    <row r="1752" ht="13.5" customHeight="1" x14ac:dyDescent="0.25"/>
    <row r="1753" ht="13.5" customHeight="1" x14ac:dyDescent="0.25"/>
    <row r="1754" ht="13.5" customHeight="1" x14ac:dyDescent="0.25"/>
    <row r="1755" ht="13.5" customHeight="1" x14ac:dyDescent="0.25"/>
    <row r="1756" ht="13.5" customHeight="1" x14ac:dyDescent="0.25"/>
    <row r="1757" ht="13.5" customHeight="1" x14ac:dyDescent="0.25"/>
    <row r="1758" ht="13.5" customHeight="1" x14ac:dyDescent="0.25"/>
    <row r="1759" ht="13.5" customHeight="1" x14ac:dyDescent="0.25"/>
    <row r="1760" ht="13.5" customHeight="1" x14ac:dyDescent="0.25"/>
    <row r="1761" ht="13.5" customHeight="1" x14ac:dyDescent="0.25"/>
    <row r="1762" ht="13.5" customHeight="1" x14ac:dyDescent="0.25"/>
    <row r="1763" ht="13.5" customHeight="1" x14ac:dyDescent="0.25"/>
    <row r="1764" ht="13.5" customHeight="1" x14ac:dyDescent="0.25"/>
    <row r="1765" ht="13.5" customHeight="1" x14ac:dyDescent="0.25"/>
    <row r="1766" ht="13.5" customHeight="1" x14ac:dyDescent="0.25"/>
    <row r="1767" ht="13.5" customHeight="1" x14ac:dyDescent="0.25"/>
    <row r="1768" ht="13.5" customHeight="1" x14ac:dyDescent="0.25"/>
    <row r="1769" ht="13.5" customHeight="1" x14ac:dyDescent="0.25"/>
    <row r="1770" ht="13.5" customHeight="1" x14ac:dyDescent="0.25"/>
    <row r="1771" ht="13.5" customHeight="1" x14ac:dyDescent="0.25"/>
    <row r="1772" ht="13.5" customHeight="1" x14ac:dyDescent="0.25"/>
    <row r="1773" ht="13.5" customHeight="1" x14ac:dyDescent="0.25"/>
    <row r="1774" ht="13.5" customHeight="1" x14ac:dyDescent="0.25"/>
    <row r="1775" ht="13.5" customHeight="1" x14ac:dyDescent="0.25"/>
    <row r="1776" ht="13.5" customHeight="1" x14ac:dyDescent="0.25"/>
    <row r="1777" ht="13.5" customHeight="1" x14ac:dyDescent="0.25"/>
    <row r="1778" ht="13.5" customHeight="1" x14ac:dyDescent="0.25"/>
    <row r="1779" ht="13.5" customHeight="1" x14ac:dyDescent="0.25"/>
    <row r="1780" ht="13.5" customHeight="1" x14ac:dyDescent="0.25"/>
    <row r="1781" ht="13.5" customHeight="1" x14ac:dyDescent="0.25"/>
    <row r="1782" ht="13.5" customHeight="1" x14ac:dyDescent="0.25"/>
    <row r="1783" ht="13.5" customHeight="1" x14ac:dyDescent="0.25"/>
    <row r="1784" ht="13.5" customHeight="1" x14ac:dyDescent="0.25"/>
    <row r="1785" ht="13.5" customHeight="1" x14ac:dyDescent="0.25"/>
    <row r="1786" ht="13.5" customHeight="1" x14ac:dyDescent="0.25"/>
    <row r="1787" ht="13.5" customHeight="1" x14ac:dyDescent="0.25"/>
    <row r="1788" ht="13.5" customHeight="1" x14ac:dyDescent="0.25"/>
    <row r="1789" ht="13.5" customHeight="1" x14ac:dyDescent="0.25"/>
    <row r="1790" ht="13.5" customHeight="1" x14ac:dyDescent="0.25"/>
    <row r="1791" ht="13.5" customHeight="1" x14ac:dyDescent="0.25"/>
    <row r="1792" ht="13.5" customHeight="1" x14ac:dyDescent="0.25"/>
    <row r="1793" ht="13.5" customHeight="1" x14ac:dyDescent="0.25"/>
    <row r="1794" ht="13.5" customHeight="1" x14ac:dyDescent="0.25"/>
    <row r="1795" ht="13.5" customHeight="1" x14ac:dyDescent="0.25"/>
    <row r="1796" ht="13.5" customHeight="1" x14ac:dyDescent="0.25"/>
    <row r="1797" ht="13.5" customHeight="1" x14ac:dyDescent="0.25"/>
    <row r="1798" ht="13.5" customHeight="1" x14ac:dyDescent="0.25"/>
    <row r="1799" ht="13.5" customHeight="1" x14ac:dyDescent="0.25"/>
    <row r="1800" ht="13.5" customHeight="1" x14ac:dyDescent="0.25"/>
    <row r="1801" ht="13.5" customHeight="1" x14ac:dyDescent="0.25"/>
    <row r="1802" ht="13.5" customHeight="1" x14ac:dyDescent="0.25"/>
    <row r="1803" ht="13.5" customHeight="1" x14ac:dyDescent="0.25"/>
    <row r="1804" ht="13.5" customHeight="1" x14ac:dyDescent="0.25"/>
    <row r="1805" ht="13.5" customHeight="1" x14ac:dyDescent="0.25"/>
    <row r="1806" ht="13.5" customHeight="1" x14ac:dyDescent="0.25"/>
    <row r="1807" ht="13.5" customHeight="1" x14ac:dyDescent="0.25"/>
    <row r="1808" ht="13.5" customHeight="1" x14ac:dyDescent="0.25"/>
    <row r="1809" ht="13.5" customHeight="1" x14ac:dyDescent="0.25"/>
    <row r="1810" ht="13.5" customHeight="1" x14ac:dyDescent="0.25"/>
    <row r="1811" ht="13.5" customHeight="1" x14ac:dyDescent="0.25"/>
    <row r="1812" ht="13.5" customHeight="1" x14ac:dyDescent="0.25"/>
    <row r="1813" ht="13.5" customHeight="1" x14ac:dyDescent="0.25"/>
    <row r="1814" ht="13.5" customHeight="1" x14ac:dyDescent="0.25"/>
    <row r="1815" ht="13.5" customHeight="1" x14ac:dyDescent="0.25"/>
    <row r="1816" ht="13.5" customHeight="1" x14ac:dyDescent="0.25"/>
    <row r="1817" ht="13.5" customHeight="1" x14ac:dyDescent="0.25"/>
    <row r="1818" ht="13.5" customHeight="1" x14ac:dyDescent="0.25"/>
    <row r="1819" ht="13.5" customHeight="1" x14ac:dyDescent="0.25"/>
    <row r="1820" ht="13.5" customHeight="1" x14ac:dyDescent="0.25"/>
    <row r="1821" ht="13.5" customHeight="1" x14ac:dyDescent="0.25"/>
    <row r="1822" ht="13.5" customHeight="1" x14ac:dyDescent="0.25"/>
    <row r="1823" ht="13.5" customHeight="1" x14ac:dyDescent="0.25"/>
    <row r="1824" ht="13.5" customHeight="1" x14ac:dyDescent="0.25"/>
    <row r="1825" ht="13.5" customHeight="1" x14ac:dyDescent="0.25"/>
    <row r="1826" ht="13.5" customHeight="1" x14ac:dyDescent="0.25"/>
    <row r="1827" ht="13.5" customHeight="1" x14ac:dyDescent="0.25"/>
    <row r="1828" ht="13.5" customHeight="1" x14ac:dyDescent="0.25"/>
    <row r="1829" ht="13.5" customHeight="1" x14ac:dyDescent="0.25"/>
    <row r="1830" ht="13.5" customHeight="1" x14ac:dyDescent="0.25"/>
    <row r="1831" ht="13.5" customHeight="1" x14ac:dyDescent="0.25"/>
    <row r="1832" ht="13.5" customHeight="1" x14ac:dyDescent="0.25"/>
    <row r="1833" ht="13.5" customHeight="1" x14ac:dyDescent="0.25"/>
    <row r="1834" ht="13.5" customHeight="1" x14ac:dyDescent="0.25"/>
    <row r="1835" ht="13.5" customHeight="1" x14ac:dyDescent="0.25"/>
    <row r="1836" ht="13.5" customHeight="1" x14ac:dyDescent="0.25"/>
    <row r="1837" ht="13.5" customHeight="1" x14ac:dyDescent="0.25"/>
    <row r="1838" ht="13.5" customHeight="1" x14ac:dyDescent="0.25"/>
    <row r="1839" ht="13.5" customHeight="1" x14ac:dyDescent="0.25"/>
    <row r="1840" ht="13.5" customHeight="1" x14ac:dyDescent="0.25"/>
    <row r="1841" ht="13.5" customHeight="1" x14ac:dyDescent="0.25"/>
    <row r="1842" ht="13.5" customHeight="1" x14ac:dyDescent="0.25"/>
    <row r="1843" ht="13.5" customHeight="1" x14ac:dyDescent="0.25"/>
    <row r="1844" ht="13.5" customHeight="1" x14ac:dyDescent="0.25"/>
    <row r="1845" ht="13.5" customHeight="1" x14ac:dyDescent="0.25"/>
    <row r="1846" ht="13.5" customHeight="1" x14ac:dyDescent="0.25"/>
    <row r="1847" ht="13.5" customHeight="1" x14ac:dyDescent="0.25"/>
    <row r="1848" ht="13.5" customHeight="1" x14ac:dyDescent="0.25"/>
    <row r="1849" ht="13.5" customHeight="1" x14ac:dyDescent="0.25"/>
    <row r="1850" ht="13.5" customHeight="1" x14ac:dyDescent="0.25"/>
    <row r="1851" ht="13.5" customHeight="1" x14ac:dyDescent="0.25"/>
    <row r="1852" ht="13.5" customHeight="1" x14ac:dyDescent="0.25"/>
    <row r="1853" ht="13.5" customHeight="1" x14ac:dyDescent="0.25"/>
    <row r="1854" ht="13.5" customHeight="1" x14ac:dyDescent="0.25"/>
    <row r="1855" ht="13.5" customHeight="1" x14ac:dyDescent="0.25"/>
    <row r="1856" ht="13.5" customHeight="1" x14ac:dyDescent="0.25"/>
    <row r="1857" ht="13.5" customHeight="1" x14ac:dyDescent="0.25"/>
    <row r="1858" ht="13.5" customHeight="1" x14ac:dyDescent="0.25"/>
    <row r="1859" ht="13.5" customHeight="1" x14ac:dyDescent="0.25"/>
    <row r="1860" ht="13.5" customHeight="1" x14ac:dyDescent="0.25"/>
    <row r="1861" ht="13.5" customHeight="1" x14ac:dyDescent="0.25"/>
    <row r="1862" ht="13.5" customHeight="1" x14ac:dyDescent="0.25"/>
    <row r="1863" ht="13.5" customHeight="1" x14ac:dyDescent="0.25"/>
    <row r="1864" ht="13.5" customHeight="1" x14ac:dyDescent="0.25"/>
    <row r="1865" ht="13.5" customHeight="1" x14ac:dyDescent="0.25"/>
    <row r="1866" ht="13.5" customHeight="1" x14ac:dyDescent="0.25"/>
    <row r="1867" ht="13.5" customHeight="1" x14ac:dyDescent="0.25"/>
    <row r="1868" ht="13.5" customHeight="1" x14ac:dyDescent="0.25"/>
    <row r="1869" ht="13.5" customHeight="1" x14ac:dyDescent="0.25"/>
    <row r="1870" ht="13.5" customHeight="1" x14ac:dyDescent="0.25"/>
    <row r="1871" ht="13.5" customHeight="1" x14ac:dyDescent="0.25"/>
    <row r="1872" ht="13.5" customHeight="1" x14ac:dyDescent="0.25"/>
    <row r="1873" ht="13.5" customHeight="1" x14ac:dyDescent="0.25"/>
    <row r="1874" ht="13.5" customHeight="1" x14ac:dyDescent="0.25"/>
    <row r="1875" ht="13.5" customHeight="1" x14ac:dyDescent="0.25"/>
    <row r="1876" ht="13.5" customHeight="1" x14ac:dyDescent="0.25"/>
    <row r="1877" ht="13.5" customHeight="1" x14ac:dyDescent="0.25"/>
    <row r="1878" ht="13.5" customHeight="1" x14ac:dyDescent="0.25"/>
    <row r="1879" ht="13.5" customHeight="1" x14ac:dyDescent="0.25"/>
    <row r="1880" ht="13.5" customHeight="1" x14ac:dyDescent="0.25"/>
    <row r="1881" ht="13.5" customHeight="1" x14ac:dyDescent="0.25"/>
    <row r="1882" ht="13.5" customHeight="1" x14ac:dyDescent="0.25"/>
    <row r="1883" ht="13.5" customHeight="1" x14ac:dyDescent="0.25"/>
    <row r="1884" ht="13.5" customHeight="1" x14ac:dyDescent="0.25"/>
    <row r="1885" ht="13.5" customHeight="1" x14ac:dyDescent="0.25"/>
    <row r="1886" ht="13.5" customHeight="1" x14ac:dyDescent="0.25"/>
    <row r="1887" ht="13.5" customHeight="1" x14ac:dyDescent="0.25"/>
    <row r="1888" ht="13.5" customHeight="1" x14ac:dyDescent="0.25"/>
    <row r="1889" ht="13.5" customHeight="1" x14ac:dyDescent="0.25"/>
    <row r="1890" ht="13.5" customHeight="1" x14ac:dyDescent="0.25"/>
    <row r="1891" ht="13.5" customHeight="1" x14ac:dyDescent="0.25"/>
    <row r="1892" ht="13.5" customHeight="1" x14ac:dyDescent="0.25"/>
    <row r="1893" ht="13.5" customHeight="1" x14ac:dyDescent="0.25"/>
    <row r="1894" ht="13.5" customHeight="1" x14ac:dyDescent="0.25"/>
    <row r="1895" ht="13.5" customHeight="1" x14ac:dyDescent="0.25"/>
    <row r="1896" ht="13.5" customHeight="1" x14ac:dyDescent="0.25"/>
    <row r="1897" ht="13.5" customHeight="1" x14ac:dyDescent="0.25"/>
    <row r="1898" ht="13.5" customHeight="1" x14ac:dyDescent="0.25"/>
    <row r="1899" ht="13.5" customHeight="1" x14ac:dyDescent="0.25"/>
    <row r="1900" ht="13.5" customHeight="1" x14ac:dyDescent="0.25"/>
    <row r="1901" ht="13.5" customHeight="1" x14ac:dyDescent="0.25"/>
    <row r="1902" ht="13.5" customHeight="1" x14ac:dyDescent="0.25"/>
    <row r="1903" ht="13.5" customHeight="1" x14ac:dyDescent="0.25"/>
    <row r="1904" ht="13.5" customHeight="1" x14ac:dyDescent="0.25"/>
    <row r="1905" ht="13.5" customHeight="1" x14ac:dyDescent="0.25"/>
    <row r="1906" ht="13.5" customHeight="1" x14ac:dyDescent="0.25"/>
    <row r="1907" ht="13.5" customHeight="1" x14ac:dyDescent="0.25"/>
    <row r="1908" ht="13.5" customHeight="1" x14ac:dyDescent="0.25"/>
    <row r="1909" ht="13.5" customHeight="1" x14ac:dyDescent="0.25"/>
    <row r="1910" ht="13.5" customHeight="1" x14ac:dyDescent="0.25"/>
    <row r="1911" ht="13.5" customHeight="1" x14ac:dyDescent="0.25"/>
    <row r="1912" ht="13.5" customHeight="1" x14ac:dyDescent="0.25"/>
    <row r="1913" ht="13.5" customHeight="1" x14ac:dyDescent="0.25"/>
    <row r="1914" ht="13.5" customHeight="1" x14ac:dyDescent="0.25"/>
    <row r="1915" ht="13.5" customHeight="1" x14ac:dyDescent="0.25"/>
    <row r="1916" ht="13.5" customHeight="1" x14ac:dyDescent="0.25"/>
    <row r="1917" ht="13.5" customHeight="1" x14ac:dyDescent="0.25"/>
    <row r="1918" ht="13.5" customHeight="1" x14ac:dyDescent="0.25"/>
    <row r="1919" ht="13.5" customHeight="1" x14ac:dyDescent="0.25"/>
    <row r="1920" ht="13.5" customHeight="1" x14ac:dyDescent="0.25"/>
    <row r="1921" ht="13.5" customHeight="1" x14ac:dyDescent="0.25"/>
    <row r="1922" ht="13.5" customHeight="1" x14ac:dyDescent="0.25"/>
    <row r="1923" ht="13.5" customHeight="1" x14ac:dyDescent="0.25"/>
    <row r="1924" ht="13.5" customHeight="1" x14ac:dyDescent="0.25"/>
    <row r="1925" ht="13.5" customHeight="1" x14ac:dyDescent="0.25"/>
    <row r="1926" ht="13.5" customHeight="1" x14ac:dyDescent="0.25"/>
    <row r="1927" ht="13.5" customHeight="1" x14ac:dyDescent="0.25"/>
    <row r="1928" ht="13.5" customHeight="1" x14ac:dyDescent="0.25"/>
    <row r="1929" ht="13.5" customHeight="1" x14ac:dyDescent="0.25"/>
    <row r="1930" ht="13.5" customHeight="1" x14ac:dyDescent="0.25"/>
    <row r="1931" ht="13.5" customHeight="1" x14ac:dyDescent="0.25"/>
    <row r="1932" ht="13.5" customHeight="1" x14ac:dyDescent="0.25"/>
    <row r="1933" ht="13.5" customHeight="1" x14ac:dyDescent="0.25"/>
    <row r="1934" ht="13.5" customHeight="1" x14ac:dyDescent="0.25"/>
    <row r="1935" ht="13.5" customHeight="1" x14ac:dyDescent="0.25"/>
    <row r="1936" ht="13.5" customHeight="1" x14ac:dyDescent="0.25"/>
    <row r="1937" ht="13.5" customHeight="1" x14ac:dyDescent="0.25"/>
    <row r="1938" ht="13.5" customHeight="1" x14ac:dyDescent="0.25"/>
    <row r="1939" ht="13.5" customHeight="1" x14ac:dyDescent="0.25"/>
    <row r="1940" ht="13.5" customHeight="1" x14ac:dyDescent="0.25"/>
    <row r="1941" ht="13.5" customHeight="1" x14ac:dyDescent="0.25"/>
    <row r="1942" ht="13.5" customHeight="1" x14ac:dyDescent="0.25"/>
    <row r="1943" ht="13.5" customHeight="1" x14ac:dyDescent="0.25"/>
    <row r="1944" ht="13.5" customHeight="1" x14ac:dyDescent="0.25"/>
    <row r="1945" ht="13.5" customHeight="1" x14ac:dyDescent="0.25"/>
    <row r="1946" ht="13.5" customHeight="1" x14ac:dyDescent="0.25"/>
    <row r="1947" ht="13.5" customHeight="1" x14ac:dyDescent="0.25"/>
    <row r="1948" ht="13.5" customHeight="1" x14ac:dyDescent="0.25"/>
    <row r="1949" ht="13.5" customHeight="1" x14ac:dyDescent="0.25"/>
    <row r="1950" ht="13.5" customHeight="1" x14ac:dyDescent="0.25"/>
    <row r="1951" ht="13.5" customHeight="1" x14ac:dyDescent="0.25"/>
    <row r="1952" ht="13.5" customHeight="1" x14ac:dyDescent="0.25"/>
    <row r="1953" ht="13.5" customHeight="1" x14ac:dyDescent="0.25"/>
    <row r="1954" ht="13.5" customHeight="1" x14ac:dyDescent="0.25"/>
    <row r="1955" ht="13.5" customHeight="1" x14ac:dyDescent="0.25"/>
    <row r="1956" ht="13.5" customHeight="1" x14ac:dyDescent="0.25"/>
    <row r="1957" ht="13.5" customHeight="1" x14ac:dyDescent="0.25"/>
    <row r="1958" ht="13.5" customHeight="1" x14ac:dyDescent="0.25"/>
    <row r="1959" ht="13.5" customHeight="1" x14ac:dyDescent="0.25"/>
    <row r="1960" ht="13.5" customHeight="1" x14ac:dyDescent="0.25"/>
    <row r="1961" ht="13.5" customHeight="1" x14ac:dyDescent="0.25"/>
    <row r="1962" ht="13.5" customHeight="1" x14ac:dyDescent="0.25"/>
    <row r="1963" ht="13.5" customHeight="1" x14ac:dyDescent="0.25"/>
    <row r="1964" ht="13.5" customHeight="1" x14ac:dyDescent="0.25"/>
    <row r="1965" ht="13.5" customHeight="1" x14ac:dyDescent="0.25"/>
    <row r="1966" ht="13.5" customHeight="1" x14ac:dyDescent="0.25"/>
    <row r="1967" ht="13.5" customHeight="1" x14ac:dyDescent="0.25"/>
    <row r="1968" ht="13.5" customHeight="1" x14ac:dyDescent="0.25"/>
    <row r="1969" ht="13.5" customHeight="1" x14ac:dyDescent="0.25"/>
    <row r="1970" ht="13.5" customHeight="1" x14ac:dyDescent="0.25"/>
    <row r="1971" ht="13.5" customHeight="1" x14ac:dyDescent="0.25"/>
    <row r="1972" ht="13.5" customHeight="1" x14ac:dyDescent="0.25"/>
    <row r="1973" ht="13.5" customHeight="1" x14ac:dyDescent="0.25"/>
    <row r="1974" ht="13.5" customHeight="1" x14ac:dyDescent="0.25"/>
    <row r="1975" ht="13.5" customHeight="1" x14ac:dyDescent="0.25"/>
    <row r="1976" ht="13.5" customHeight="1" x14ac:dyDescent="0.25"/>
    <row r="1977" ht="13.5" customHeight="1" x14ac:dyDescent="0.25"/>
    <row r="1978" ht="13.5" customHeight="1" x14ac:dyDescent="0.25"/>
    <row r="1979" ht="13.5" customHeight="1" x14ac:dyDescent="0.25"/>
    <row r="1980" ht="13.5" customHeight="1" x14ac:dyDescent="0.25"/>
    <row r="1981" ht="13.5" customHeight="1" x14ac:dyDescent="0.25"/>
    <row r="1982" ht="13.5" customHeight="1" x14ac:dyDescent="0.25"/>
    <row r="1983" ht="13.5" customHeight="1" x14ac:dyDescent="0.25"/>
    <row r="1984" ht="13.5" customHeight="1" x14ac:dyDescent="0.25"/>
    <row r="1985" ht="13.5" customHeight="1" x14ac:dyDescent="0.25"/>
    <row r="1986" ht="13.5" customHeight="1" x14ac:dyDescent="0.25"/>
    <row r="1987" ht="13.5" customHeight="1" x14ac:dyDescent="0.25"/>
    <row r="1988" ht="13.5" customHeight="1" x14ac:dyDescent="0.25"/>
    <row r="1989" ht="13.5" customHeight="1" x14ac:dyDescent="0.25"/>
    <row r="1990" ht="13.5" customHeight="1" x14ac:dyDescent="0.25"/>
    <row r="1991" ht="13.5" customHeight="1" x14ac:dyDescent="0.25"/>
    <row r="1992" ht="13.5" customHeight="1" x14ac:dyDescent="0.25"/>
    <row r="1993" ht="13.5" customHeight="1" x14ac:dyDescent="0.25"/>
    <row r="1994" ht="13.5" customHeight="1" x14ac:dyDescent="0.25"/>
    <row r="1995" ht="13.5" customHeight="1" x14ac:dyDescent="0.25"/>
    <row r="1996" ht="13.5" customHeight="1" x14ac:dyDescent="0.25"/>
    <row r="1997" ht="13.5" customHeight="1" x14ac:dyDescent="0.25"/>
    <row r="1998" ht="13.5" customHeight="1" x14ac:dyDescent="0.25"/>
    <row r="1999" ht="13.5" customHeight="1" x14ac:dyDescent="0.25"/>
    <row r="2000" ht="13.5" customHeight="1" x14ac:dyDescent="0.25"/>
    <row r="2001" ht="13.5" customHeight="1" x14ac:dyDescent="0.25"/>
  </sheetData>
  <sheetProtection password="8719" sheet="1" objects="1" scenarios="1" insertRows="0"/>
  <mergeCells count="13">
    <mergeCell ref="A5:B5"/>
    <mergeCell ref="C5:F5"/>
    <mergeCell ref="A1:E1"/>
    <mergeCell ref="A3:B3"/>
    <mergeCell ref="C3:D3"/>
    <mergeCell ref="A4:B4"/>
    <mergeCell ref="C4:D4"/>
    <mergeCell ref="A6:B6"/>
    <mergeCell ref="C6:F6"/>
    <mergeCell ref="A13:D22"/>
    <mergeCell ref="A504:F504"/>
    <mergeCell ref="A8:F8"/>
    <mergeCell ref="A9:C9"/>
  </mergeCells>
  <conditionalFormatting sqref="F9">
    <cfRule type="notContainsBlanks" dxfId="19" priority="11">
      <formula>LEN(TRIM(F9))&gt;0</formula>
    </cfRule>
  </conditionalFormatting>
  <conditionalFormatting sqref="E26:E503">
    <cfRule type="notContainsBlanks" dxfId="18" priority="9">
      <formula>LEN(TRIM(E26))&gt;0</formula>
    </cfRule>
    <cfRule type="expression" dxfId="17" priority="10">
      <formula>$A$26&lt;&gt;""</formula>
    </cfRule>
  </conditionalFormatting>
  <conditionalFormatting sqref="A26:A503">
    <cfRule type="notContainsBlanks" dxfId="16" priority="8">
      <formula>LEN(TRIM(A26))&gt;0</formula>
    </cfRule>
  </conditionalFormatting>
  <conditionalFormatting sqref="F26:F503">
    <cfRule type="notContainsBlanks" dxfId="15" priority="6">
      <formula>LEN(TRIM(F26))&gt;0</formula>
    </cfRule>
    <cfRule type="expression" dxfId="14" priority="7">
      <formula>$E$26&lt;&gt;""</formula>
    </cfRule>
  </conditionalFormatting>
  <conditionalFormatting sqref="B23:B25">
    <cfRule type="notContainsBlanks" dxfId="13" priority="5">
      <formula>LEN(TRIM(B23))&gt;0</formula>
    </cfRule>
  </conditionalFormatting>
  <conditionalFormatting sqref="B26:C503">
    <cfRule type="notContainsBlanks" dxfId="12" priority="3">
      <formula>LEN(TRIM(B26))&gt;0</formula>
    </cfRule>
    <cfRule type="expression" dxfId="11" priority="4">
      <formula>$A$26&lt;&gt;""</formula>
    </cfRule>
  </conditionalFormatting>
  <conditionalFormatting sqref="B26:B503">
    <cfRule type="expression" dxfId="10" priority="2">
      <formula>$C$26&lt;&gt;""</formula>
    </cfRule>
  </conditionalFormatting>
  <conditionalFormatting sqref="C26:C503">
    <cfRule type="expression" dxfId="9" priority="1">
      <formula>$B$26&lt;&gt;""</formula>
    </cfRule>
  </conditionalFormatting>
  <dataValidations count="2">
    <dataValidation type="list" allowBlank="1" showInputMessage="1" showErrorMessage="1" sqref="WVL983067:WVL983543 IZ27:IZ503 SV27:SV503 ACR27:ACR503 AMN27:AMN503 AWJ27:AWJ503 BGF27:BGF503 BQB27:BQB503 BZX27:BZX503 CJT27:CJT503 CTP27:CTP503 DDL27:DDL503 DNH27:DNH503 DXD27:DXD503 EGZ27:EGZ503 EQV27:EQV503 FAR27:FAR503 FKN27:FKN503 FUJ27:FUJ503 GEF27:GEF503 GOB27:GOB503 GXX27:GXX503 HHT27:HHT503 HRP27:HRP503 IBL27:IBL503 ILH27:ILH503 IVD27:IVD503 JEZ27:JEZ503 JOV27:JOV503 JYR27:JYR503 KIN27:KIN503 KSJ27:KSJ503 LCF27:LCF503 LMB27:LMB503 LVX27:LVX503 MFT27:MFT503 MPP27:MPP503 MZL27:MZL503 NJH27:NJH503 NTD27:NTD503 OCZ27:OCZ503 OMV27:OMV503 OWR27:OWR503 PGN27:PGN503 PQJ27:PQJ503 QAF27:QAF503 QKB27:QKB503 QTX27:QTX503 RDT27:RDT503 RNP27:RNP503 RXL27:RXL503 SHH27:SHH503 SRD27:SRD503 TAZ27:TAZ503 TKV27:TKV503 TUR27:TUR503 UEN27:UEN503 UOJ27:UOJ503 UYF27:UYF503 VIB27:VIB503 VRX27:VRX503 WBT27:WBT503 WLP27:WLP503 WVL27:WVL503 E65563:E66039 IZ65563:IZ66039 SV65563:SV66039 ACR65563:ACR66039 AMN65563:AMN66039 AWJ65563:AWJ66039 BGF65563:BGF66039 BQB65563:BQB66039 BZX65563:BZX66039 CJT65563:CJT66039 CTP65563:CTP66039 DDL65563:DDL66039 DNH65563:DNH66039 DXD65563:DXD66039 EGZ65563:EGZ66039 EQV65563:EQV66039 FAR65563:FAR66039 FKN65563:FKN66039 FUJ65563:FUJ66039 GEF65563:GEF66039 GOB65563:GOB66039 GXX65563:GXX66039 HHT65563:HHT66039 HRP65563:HRP66039 IBL65563:IBL66039 ILH65563:ILH66039 IVD65563:IVD66039 JEZ65563:JEZ66039 JOV65563:JOV66039 JYR65563:JYR66039 KIN65563:KIN66039 KSJ65563:KSJ66039 LCF65563:LCF66039 LMB65563:LMB66039 LVX65563:LVX66039 MFT65563:MFT66039 MPP65563:MPP66039 MZL65563:MZL66039 NJH65563:NJH66039 NTD65563:NTD66039 OCZ65563:OCZ66039 OMV65563:OMV66039 OWR65563:OWR66039 PGN65563:PGN66039 PQJ65563:PQJ66039 QAF65563:QAF66039 QKB65563:QKB66039 QTX65563:QTX66039 RDT65563:RDT66039 RNP65563:RNP66039 RXL65563:RXL66039 SHH65563:SHH66039 SRD65563:SRD66039 TAZ65563:TAZ66039 TKV65563:TKV66039 TUR65563:TUR66039 UEN65563:UEN66039 UOJ65563:UOJ66039 UYF65563:UYF66039 VIB65563:VIB66039 VRX65563:VRX66039 WBT65563:WBT66039 WLP65563:WLP66039 WVL65563:WVL66039 E131099:E131575 IZ131099:IZ131575 SV131099:SV131575 ACR131099:ACR131575 AMN131099:AMN131575 AWJ131099:AWJ131575 BGF131099:BGF131575 BQB131099:BQB131575 BZX131099:BZX131575 CJT131099:CJT131575 CTP131099:CTP131575 DDL131099:DDL131575 DNH131099:DNH131575 DXD131099:DXD131575 EGZ131099:EGZ131575 EQV131099:EQV131575 FAR131099:FAR131575 FKN131099:FKN131575 FUJ131099:FUJ131575 GEF131099:GEF131575 GOB131099:GOB131575 GXX131099:GXX131575 HHT131099:HHT131575 HRP131099:HRP131575 IBL131099:IBL131575 ILH131099:ILH131575 IVD131099:IVD131575 JEZ131099:JEZ131575 JOV131099:JOV131575 JYR131099:JYR131575 KIN131099:KIN131575 KSJ131099:KSJ131575 LCF131099:LCF131575 LMB131099:LMB131575 LVX131099:LVX131575 MFT131099:MFT131575 MPP131099:MPP131575 MZL131099:MZL131575 NJH131099:NJH131575 NTD131099:NTD131575 OCZ131099:OCZ131575 OMV131099:OMV131575 OWR131099:OWR131575 PGN131099:PGN131575 PQJ131099:PQJ131575 QAF131099:QAF131575 QKB131099:QKB131575 QTX131099:QTX131575 RDT131099:RDT131575 RNP131099:RNP131575 RXL131099:RXL131575 SHH131099:SHH131575 SRD131099:SRD131575 TAZ131099:TAZ131575 TKV131099:TKV131575 TUR131099:TUR131575 UEN131099:UEN131575 UOJ131099:UOJ131575 UYF131099:UYF131575 VIB131099:VIB131575 VRX131099:VRX131575 WBT131099:WBT131575 WLP131099:WLP131575 WVL131099:WVL131575 E196635:E197111 IZ196635:IZ197111 SV196635:SV197111 ACR196635:ACR197111 AMN196635:AMN197111 AWJ196635:AWJ197111 BGF196635:BGF197111 BQB196635:BQB197111 BZX196635:BZX197111 CJT196635:CJT197111 CTP196635:CTP197111 DDL196635:DDL197111 DNH196635:DNH197111 DXD196635:DXD197111 EGZ196635:EGZ197111 EQV196635:EQV197111 FAR196635:FAR197111 FKN196635:FKN197111 FUJ196635:FUJ197111 GEF196635:GEF197111 GOB196635:GOB197111 GXX196635:GXX197111 HHT196635:HHT197111 HRP196635:HRP197111 IBL196635:IBL197111 ILH196635:ILH197111 IVD196635:IVD197111 JEZ196635:JEZ197111 JOV196635:JOV197111 JYR196635:JYR197111 KIN196635:KIN197111 KSJ196635:KSJ197111 LCF196635:LCF197111 LMB196635:LMB197111 LVX196635:LVX197111 MFT196635:MFT197111 MPP196635:MPP197111 MZL196635:MZL197111 NJH196635:NJH197111 NTD196635:NTD197111 OCZ196635:OCZ197111 OMV196635:OMV197111 OWR196635:OWR197111 PGN196635:PGN197111 PQJ196635:PQJ197111 QAF196635:QAF197111 QKB196635:QKB197111 QTX196635:QTX197111 RDT196635:RDT197111 RNP196635:RNP197111 RXL196635:RXL197111 SHH196635:SHH197111 SRD196635:SRD197111 TAZ196635:TAZ197111 TKV196635:TKV197111 TUR196635:TUR197111 UEN196635:UEN197111 UOJ196635:UOJ197111 UYF196635:UYF197111 VIB196635:VIB197111 VRX196635:VRX197111 WBT196635:WBT197111 WLP196635:WLP197111 WVL196635:WVL197111 E262171:E262647 IZ262171:IZ262647 SV262171:SV262647 ACR262171:ACR262647 AMN262171:AMN262647 AWJ262171:AWJ262647 BGF262171:BGF262647 BQB262171:BQB262647 BZX262171:BZX262647 CJT262171:CJT262647 CTP262171:CTP262647 DDL262171:DDL262647 DNH262171:DNH262647 DXD262171:DXD262647 EGZ262171:EGZ262647 EQV262171:EQV262647 FAR262171:FAR262647 FKN262171:FKN262647 FUJ262171:FUJ262647 GEF262171:GEF262647 GOB262171:GOB262647 GXX262171:GXX262647 HHT262171:HHT262647 HRP262171:HRP262647 IBL262171:IBL262647 ILH262171:ILH262647 IVD262171:IVD262647 JEZ262171:JEZ262647 JOV262171:JOV262647 JYR262171:JYR262647 KIN262171:KIN262647 KSJ262171:KSJ262647 LCF262171:LCF262647 LMB262171:LMB262647 LVX262171:LVX262647 MFT262171:MFT262647 MPP262171:MPP262647 MZL262171:MZL262647 NJH262171:NJH262647 NTD262171:NTD262647 OCZ262171:OCZ262647 OMV262171:OMV262647 OWR262171:OWR262647 PGN262171:PGN262647 PQJ262171:PQJ262647 QAF262171:QAF262647 QKB262171:QKB262647 QTX262171:QTX262647 RDT262171:RDT262647 RNP262171:RNP262647 RXL262171:RXL262647 SHH262171:SHH262647 SRD262171:SRD262647 TAZ262171:TAZ262647 TKV262171:TKV262647 TUR262171:TUR262647 UEN262171:UEN262647 UOJ262171:UOJ262647 UYF262171:UYF262647 VIB262171:VIB262647 VRX262171:VRX262647 WBT262171:WBT262647 WLP262171:WLP262647 WVL262171:WVL262647 E327707:E328183 IZ327707:IZ328183 SV327707:SV328183 ACR327707:ACR328183 AMN327707:AMN328183 AWJ327707:AWJ328183 BGF327707:BGF328183 BQB327707:BQB328183 BZX327707:BZX328183 CJT327707:CJT328183 CTP327707:CTP328183 DDL327707:DDL328183 DNH327707:DNH328183 DXD327707:DXD328183 EGZ327707:EGZ328183 EQV327707:EQV328183 FAR327707:FAR328183 FKN327707:FKN328183 FUJ327707:FUJ328183 GEF327707:GEF328183 GOB327707:GOB328183 GXX327707:GXX328183 HHT327707:HHT328183 HRP327707:HRP328183 IBL327707:IBL328183 ILH327707:ILH328183 IVD327707:IVD328183 JEZ327707:JEZ328183 JOV327707:JOV328183 JYR327707:JYR328183 KIN327707:KIN328183 KSJ327707:KSJ328183 LCF327707:LCF328183 LMB327707:LMB328183 LVX327707:LVX328183 MFT327707:MFT328183 MPP327707:MPP328183 MZL327707:MZL328183 NJH327707:NJH328183 NTD327707:NTD328183 OCZ327707:OCZ328183 OMV327707:OMV328183 OWR327707:OWR328183 PGN327707:PGN328183 PQJ327707:PQJ328183 QAF327707:QAF328183 QKB327707:QKB328183 QTX327707:QTX328183 RDT327707:RDT328183 RNP327707:RNP328183 RXL327707:RXL328183 SHH327707:SHH328183 SRD327707:SRD328183 TAZ327707:TAZ328183 TKV327707:TKV328183 TUR327707:TUR328183 UEN327707:UEN328183 UOJ327707:UOJ328183 UYF327707:UYF328183 VIB327707:VIB328183 VRX327707:VRX328183 WBT327707:WBT328183 WLP327707:WLP328183 WVL327707:WVL328183 E393243:E393719 IZ393243:IZ393719 SV393243:SV393719 ACR393243:ACR393719 AMN393243:AMN393719 AWJ393243:AWJ393719 BGF393243:BGF393719 BQB393243:BQB393719 BZX393243:BZX393719 CJT393243:CJT393719 CTP393243:CTP393719 DDL393243:DDL393719 DNH393243:DNH393719 DXD393243:DXD393719 EGZ393243:EGZ393719 EQV393243:EQV393719 FAR393243:FAR393719 FKN393243:FKN393719 FUJ393243:FUJ393719 GEF393243:GEF393719 GOB393243:GOB393719 GXX393243:GXX393719 HHT393243:HHT393719 HRP393243:HRP393719 IBL393243:IBL393719 ILH393243:ILH393719 IVD393243:IVD393719 JEZ393243:JEZ393719 JOV393243:JOV393719 JYR393243:JYR393719 KIN393243:KIN393719 KSJ393243:KSJ393719 LCF393243:LCF393719 LMB393243:LMB393719 LVX393243:LVX393719 MFT393243:MFT393719 MPP393243:MPP393719 MZL393243:MZL393719 NJH393243:NJH393719 NTD393243:NTD393719 OCZ393243:OCZ393719 OMV393243:OMV393719 OWR393243:OWR393719 PGN393243:PGN393719 PQJ393243:PQJ393719 QAF393243:QAF393719 QKB393243:QKB393719 QTX393243:QTX393719 RDT393243:RDT393719 RNP393243:RNP393719 RXL393243:RXL393719 SHH393243:SHH393719 SRD393243:SRD393719 TAZ393243:TAZ393719 TKV393243:TKV393719 TUR393243:TUR393719 UEN393243:UEN393719 UOJ393243:UOJ393719 UYF393243:UYF393719 VIB393243:VIB393719 VRX393243:VRX393719 WBT393243:WBT393719 WLP393243:WLP393719 WVL393243:WVL393719 E458779:E459255 IZ458779:IZ459255 SV458779:SV459255 ACR458779:ACR459255 AMN458779:AMN459255 AWJ458779:AWJ459255 BGF458779:BGF459255 BQB458779:BQB459255 BZX458779:BZX459255 CJT458779:CJT459255 CTP458779:CTP459255 DDL458779:DDL459255 DNH458779:DNH459255 DXD458779:DXD459255 EGZ458779:EGZ459255 EQV458779:EQV459255 FAR458779:FAR459255 FKN458779:FKN459255 FUJ458779:FUJ459255 GEF458779:GEF459255 GOB458779:GOB459255 GXX458779:GXX459255 HHT458779:HHT459255 HRP458779:HRP459255 IBL458779:IBL459255 ILH458779:ILH459255 IVD458779:IVD459255 JEZ458779:JEZ459255 JOV458779:JOV459255 JYR458779:JYR459255 KIN458779:KIN459255 KSJ458779:KSJ459255 LCF458779:LCF459255 LMB458779:LMB459255 LVX458779:LVX459255 MFT458779:MFT459255 MPP458779:MPP459255 MZL458779:MZL459255 NJH458779:NJH459255 NTD458779:NTD459255 OCZ458779:OCZ459255 OMV458779:OMV459255 OWR458779:OWR459255 PGN458779:PGN459255 PQJ458779:PQJ459255 QAF458779:QAF459255 QKB458779:QKB459255 QTX458779:QTX459255 RDT458779:RDT459255 RNP458779:RNP459255 RXL458779:RXL459255 SHH458779:SHH459255 SRD458779:SRD459255 TAZ458779:TAZ459255 TKV458779:TKV459255 TUR458779:TUR459255 UEN458779:UEN459255 UOJ458779:UOJ459255 UYF458779:UYF459255 VIB458779:VIB459255 VRX458779:VRX459255 WBT458779:WBT459255 WLP458779:WLP459255 WVL458779:WVL459255 E524315:E524791 IZ524315:IZ524791 SV524315:SV524791 ACR524315:ACR524791 AMN524315:AMN524791 AWJ524315:AWJ524791 BGF524315:BGF524791 BQB524315:BQB524791 BZX524315:BZX524791 CJT524315:CJT524791 CTP524315:CTP524791 DDL524315:DDL524791 DNH524315:DNH524791 DXD524315:DXD524791 EGZ524315:EGZ524791 EQV524315:EQV524791 FAR524315:FAR524791 FKN524315:FKN524791 FUJ524315:FUJ524791 GEF524315:GEF524791 GOB524315:GOB524791 GXX524315:GXX524791 HHT524315:HHT524791 HRP524315:HRP524791 IBL524315:IBL524791 ILH524315:ILH524791 IVD524315:IVD524791 JEZ524315:JEZ524791 JOV524315:JOV524791 JYR524315:JYR524791 KIN524315:KIN524791 KSJ524315:KSJ524791 LCF524315:LCF524791 LMB524315:LMB524791 LVX524315:LVX524791 MFT524315:MFT524791 MPP524315:MPP524791 MZL524315:MZL524791 NJH524315:NJH524791 NTD524315:NTD524791 OCZ524315:OCZ524791 OMV524315:OMV524791 OWR524315:OWR524791 PGN524315:PGN524791 PQJ524315:PQJ524791 QAF524315:QAF524791 QKB524315:QKB524791 QTX524315:QTX524791 RDT524315:RDT524791 RNP524315:RNP524791 RXL524315:RXL524791 SHH524315:SHH524791 SRD524315:SRD524791 TAZ524315:TAZ524791 TKV524315:TKV524791 TUR524315:TUR524791 UEN524315:UEN524791 UOJ524315:UOJ524791 UYF524315:UYF524791 VIB524315:VIB524791 VRX524315:VRX524791 WBT524315:WBT524791 WLP524315:WLP524791 WVL524315:WVL524791 E589851:E590327 IZ589851:IZ590327 SV589851:SV590327 ACR589851:ACR590327 AMN589851:AMN590327 AWJ589851:AWJ590327 BGF589851:BGF590327 BQB589851:BQB590327 BZX589851:BZX590327 CJT589851:CJT590327 CTP589851:CTP590327 DDL589851:DDL590327 DNH589851:DNH590327 DXD589851:DXD590327 EGZ589851:EGZ590327 EQV589851:EQV590327 FAR589851:FAR590327 FKN589851:FKN590327 FUJ589851:FUJ590327 GEF589851:GEF590327 GOB589851:GOB590327 GXX589851:GXX590327 HHT589851:HHT590327 HRP589851:HRP590327 IBL589851:IBL590327 ILH589851:ILH590327 IVD589851:IVD590327 JEZ589851:JEZ590327 JOV589851:JOV590327 JYR589851:JYR590327 KIN589851:KIN590327 KSJ589851:KSJ590327 LCF589851:LCF590327 LMB589851:LMB590327 LVX589851:LVX590327 MFT589851:MFT590327 MPP589851:MPP590327 MZL589851:MZL590327 NJH589851:NJH590327 NTD589851:NTD590327 OCZ589851:OCZ590327 OMV589851:OMV590327 OWR589851:OWR590327 PGN589851:PGN590327 PQJ589851:PQJ590327 QAF589851:QAF590327 QKB589851:QKB590327 QTX589851:QTX590327 RDT589851:RDT590327 RNP589851:RNP590327 RXL589851:RXL590327 SHH589851:SHH590327 SRD589851:SRD590327 TAZ589851:TAZ590327 TKV589851:TKV590327 TUR589851:TUR590327 UEN589851:UEN590327 UOJ589851:UOJ590327 UYF589851:UYF590327 VIB589851:VIB590327 VRX589851:VRX590327 WBT589851:WBT590327 WLP589851:WLP590327 WVL589851:WVL590327 E655387:E655863 IZ655387:IZ655863 SV655387:SV655863 ACR655387:ACR655863 AMN655387:AMN655863 AWJ655387:AWJ655863 BGF655387:BGF655863 BQB655387:BQB655863 BZX655387:BZX655863 CJT655387:CJT655863 CTP655387:CTP655863 DDL655387:DDL655863 DNH655387:DNH655863 DXD655387:DXD655863 EGZ655387:EGZ655863 EQV655387:EQV655863 FAR655387:FAR655863 FKN655387:FKN655863 FUJ655387:FUJ655863 GEF655387:GEF655863 GOB655387:GOB655863 GXX655387:GXX655863 HHT655387:HHT655863 HRP655387:HRP655863 IBL655387:IBL655863 ILH655387:ILH655863 IVD655387:IVD655863 JEZ655387:JEZ655863 JOV655387:JOV655863 JYR655387:JYR655863 KIN655387:KIN655863 KSJ655387:KSJ655863 LCF655387:LCF655863 LMB655387:LMB655863 LVX655387:LVX655863 MFT655387:MFT655863 MPP655387:MPP655863 MZL655387:MZL655863 NJH655387:NJH655863 NTD655387:NTD655863 OCZ655387:OCZ655863 OMV655387:OMV655863 OWR655387:OWR655863 PGN655387:PGN655863 PQJ655387:PQJ655863 QAF655387:QAF655863 QKB655387:QKB655863 QTX655387:QTX655863 RDT655387:RDT655863 RNP655387:RNP655863 RXL655387:RXL655863 SHH655387:SHH655863 SRD655387:SRD655863 TAZ655387:TAZ655863 TKV655387:TKV655863 TUR655387:TUR655863 UEN655387:UEN655863 UOJ655387:UOJ655863 UYF655387:UYF655863 VIB655387:VIB655863 VRX655387:VRX655863 WBT655387:WBT655863 WLP655387:WLP655863 WVL655387:WVL655863 E720923:E721399 IZ720923:IZ721399 SV720923:SV721399 ACR720923:ACR721399 AMN720923:AMN721399 AWJ720923:AWJ721399 BGF720923:BGF721399 BQB720923:BQB721399 BZX720923:BZX721399 CJT720923:CJT721399 CTP720923:CTP721399 DDL720923:DDL721399 DNH720923:DNH721399 DXD720923:DXD721399 EGZ720923:EGZ721399 EQV720923:EQV721399 FAR720923:FAR721399 FKN720923:FKN721399 FUJ720923:FUJ721399 GEF720923:GEF721399 GOB720923:GOB721399 GXX720923:GXX721399 HHT720923:HHT721399 HRP720923:HRP721399 IBL720923:IBL721399 ILH720923:ILH721399 IVD720923:IVD721399 JEZ720923:JEZ721399 JOV720923:JOV721399 JYR720923:JYR721399 KIN720923:KIN721399 KSJ720923:KSJ721399 LCF720923:LCF721399 LMB720923:LMB721399 LVX720923:LVX721399 MFT720923:MFT721399 MPP720923:MPP721399 MZL720923:MZL721399 NJH720923:NJH721399 NTD720923:NTD721399 OCZ720923:OCZ721399 OMV720923:OMV721399 OWR720923:OWR721399 PGN720923:PGN721399 PQJ720923:PQJ721399 QAF720923:QAF721399 QKB720923:QKB721399 QTX720923:QTX721399 RDT720923:RDT721399 RNP720923:RNP721399 RXL720923:RXL721399 SHH720923:SHH721399 SRD720923:SRD721399 TAZ720923:TAZ721399 TKV720923:TKV721399 TUR720923:TUR721399 UEN720923:UEN721399 UOJ720923:UOJ721399 UYF720923:UYF721399 VIB720923:VIB721399 VRX720923:VRX721399 WBT720923:WBT721399 WLP720923:WLP721399 WVL720923:WVL721399 E786459:E786935 IZ786459:IZ786935 SV786459:SV786935 ACR786459:ACR786935 AMN786459:AMN786935 AWJ786459:AWJ786935 BGF786459:BGF786935 BQB786459:BQB786935 BZX786459:BZX786935 CJT786459:CJT786935 CTP786459:CTP786935 DDL786459:DDL786935 DNH786459:DNH786935 DXD786459:DXD786935 EGZ786459:EGZ786935 EQV786459:EQV786935 FAR786459:FAR786935 FKN786459:FKN786935 FUJ786459:FUJ786935 GEF786459:GEF786935 GOB786459:GOB786935 GXX786459:GXX786935 HHT786459:HHT786935 HRP786459:HRP786935 IBL786459:IBL786935 ILH786459:ILH786935 IVD786459:IVD786935 JEZ786459:JEZ786935 JOV786459:JOV786935 JYR786459:JYR786935 KIN786459:KIN786935 KSJ786459:KSJ786935 LCF786459:LCF786935 LMB786459:LMB786935 LVX786459:LVX786935 MFT786459:MFT786935 MPP786459:MPP786935 MZL786459:MZL786935 NJH786459:NJH786935 NTD786459:NTD786935 OCZ786459:OCZ786935 OMV786459:OMV786935 OWR786459:OWR786935 PGN786459:PGN786935 PQJ786459:PQJ786935 QAF786459:QAF786935 QKB786459:QKB786935 QTX786459:QTX786935 RDT786459:RDT786935 RNP786459:RNP786935 RXL786459:RXL786935 SHH786459:SHH786935 SRD786459:SRD786935 TAZ786459:TAZ786935 TKV786459:TKV786935 TUR786459:TUR786935 UEN786459:UEN786935 UOJ786459:UOJ786935 UYF786459:UYF786935 VIB786459:VIB786935 VRX786459:VRX786935 WBT786459:WBT786935 WLP786459:WLP786935 WVL786459:WVL786935 E851995:E852471 IZ851995:IZ852471 SV851995:SV852471 ACR851995:ACR852471 AMN851995:AMN852471 AWJ851995:AWJ852471 BGF851995:BGF852471 BQB851995:BQB852471 BZX851995:BZX852471 CJT851995:CJT852471 CTP851995:CTP852471 DDL851995:DDL852471 DNH851995:DNH852471 DXD851995:DXD852471 EGZ851995:EGZ852471 EQV851995:EQV852471 FAR851995:FAR852471 FKN851995:FKN852471 FUJ851995:FUJ852471 GEF851995:GEF852471 GOB851995:GOB852471 GXX851995:GXX852471 HHT851995:HHT852471 HRP851995:HRP852471 IBL851995:IBL852471 ILH851995:ILH852471 IVD851995:IVD852471 JEZ851995:JEZ852471 JOV851995:JOV852471 JYR851995:JYR852471 KIN851995:KIN852471 KSJ851995:KSJ852471 LCF851995:LCF852471 LMB851995:LMB852471 LVX851995:LVX852471 MFT851995:MFT852471 MPP851995:MPP852471 MZL851995:MZL852471 NJH851995:NJH852471 NTD851995:NTD852471 OCZ851995:OCZ852471 OMV851995:OMV852471 OWR851995:OWR852471 PGN851995:PGN852471 PQJ851995:PQJ852471 QAF851995:QAF852471 QKB851995:QKB852471 QTX851995:QTX852471 RDT851995:RDT852471 RNP851995:RNP852471 RXL851995:RXL852471 SHH851995:SHH852471 SRD851995:SRD852471 TAZ851995:TAZ852471 TKV851995:TKV852471 TUR851995:TUR852471 UEN851995:UEN852471 UOJ851995:UOJ852471 UYF851995:UYF852471 VIB851995:VIB852471 VRX851995:VRX852471 WBT851995:WBT852471 WLP851995:WLP852471 WVL851995:WVL852471 E917531:E918007 IZ917531:IZ918007 SV917531:SV918007 ACR917531:ACR918007 AMN917531:AMN918007 AWJ917531:AWJ918007 BGF917531:BGF918007 BQB917531:BQB918007 BZX917531:BZX918007 CJT917531:CJT918007 CTP917531:CTP918007 DDL917531:DDL918007 DNH917531:DNH918007 DXD917531:DXD918007 EGZ917531:EGZ918007 EQV917531:EQV918007 FAR917531:FAR918007 FKN917531:FKN918007 FUJ917531:FUJ918007 GEF917531:GEF918007 GOB917531:GOB918007 GXX917531:GXX918007 HHT917531:HHT918007 HRP917531:HRP918007 IBL917531:IBL918007 ILH917531:ILH918007 IVD917531:IVD918007 JEZ917531:JEZ918007 JOV917531:JOV918007 JYR917531:JYR918007 KIN917531:KIN918007 KSJ917531:KSJ918007 LCF917531:LCF918007 LMB917531:LMB918007 LVX917531:LVX918007 MFT917531:MFT918007 MPP917531:MPP918007 MZL917531:MZL918007 NJH917531:NJH918007 NTD917531:NTD918007 OCZ917531:OCZ918007 OMV917531:OMV918007 OWR917531:OWR918007 PGN917531:PGN918007 PQJ917531:PQJ918007 QAF917531:QAF918007 QKB917531:QKB918007 QTX917531:QTX918007 RDT917531:RDT918007 RNP917531:RNP918007 RXL917531:RXL918007 SHH917531:SHH918007 SRD917531:SRD918007 TAZ917531:TAZ918007 TKV917531:TKV918007 TUR917531:TUR918007 UEN917531:UEN918007 UOJ917531:UOJ918007 UYF917531:UYF918007 VIB917531:VIB918007 VRX917531:VRX918007 WBT917531:WBT918007 WLP917531:WLP918007 WVL917531:WVL918007 E983067:E983543 IZ983067:IZ983543 SV983067:SV983543 ACR983067:ACR983543 AMN983067:AMN983543 AWJ983067:AWJ983543 BGF983067:BGF983543 BQB983067:BQB983543 BZX983067:BZX983543 CJT983067:CJT983543 CTP983067:CTP983543 DDL983067:DDL983543 DNH983067:DNH983543 DXD983067:DXD983543 EGZ983067:EGZ983543 EQV983067:EQV983543 FAR983067:FAR983543 FKN983067:FKN983543 FUJ983067:FUJ983543 GEF983067:GEF983543 GOB983067:GOB983543 GXX983067:GXX983543 HHT983067:HHT983543 HRP983067:HRP983543 IBL983067:IBL983543 ILH983067:ILH983543 IVD983067:IVD983543 JEZ983067:JEZ983543 JOV983067:JOV983543 JYR983067:JYR983543 KIN983067:KIN983543 KSJ983067:KSJ983543 LCF983067:LCF983543 LMB983067:LMB983543 LVX983067:LVX983543 MFT983067:MFT983543 MPP983067:MPP983543 MZL983067:MZL983543 NJH983067:NJH983543 NTD983067:NTD983543 OCZ983067:OCZ983543 OMV983067:OMV983543 OWR983067:OWR983543 PGN983067:PGN983543 PQJ983067:PQJ983543 QAF983067:QAF983543 QKB983067:QKB983543 QTX983067:QTX983543 RDT983067:RDT983543 RNP983067:RNP983543 RXL983067:RXL983543 SHH983067:SHH983543 SRD983067:SRD983543 TAZ983067:TAZ983543 TKV983067:TKV983543 TUR983067:TUR983543 UEN983067:UEN983543 UOJ983067:UOJ983543 UYF983067:UYF983543 VIB983067:VIB983543 VRX983067:VRX983543 WBT983067:WBT983543 WLP983067:WLP983543">
      <formula1>attributenamelist</formula1>
    </dataValidation>
    <dataValidation type="list" allowBlank="1" showInputMessage="1" showErrorMessage="1" sqref="E26:E503">
      <formula1>categoryname</formula1>
    </dataValidation>
  </dataValidation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60"/>
  <sheetViews>
    <sheetView workbookViewId="0">
      <selection activeCell="A6" sqref="A6"/>
    </sheetView>
  </sheetViews>
  <sheetFormatPr defaultRowHeight="15" x14ac:dyDescent="0.25"/>
  <cols>
    <col min="1" max="1" width="72" style="365" customWidth="1"/>
    <col min="2" max="2" width="95.85546875" style="378" customWidth="1"/>
    <col min="3" max="256" width="9.140625" style="378"/>
    <col min="257" max="257" width="72" style="378" customWidth="1"/>
    <col min="258" max="258" width="95.85546875" style="378" customWidth="1"/>
    <col min="259" max="512" width="9.140625" style="378"/>
    <col min="513" max="513" width="72" style="378" customWidth="1"/>
    <col min="514" max="514" width="95.85546875" style="378" customWidth="1"/>
    <col min="515" max="768" width="9.140625" style="378"/>
    <col min="769" max="769" width="72" style="378" customWidth="1"/>
    <col min="770" max="770" width="95.85546875" style="378" customWidth="1"/>
    <col min="771" max="1024" width="9.140625" style="378"/>
    <col min="1025" max="1025" width="72" style="378" customWidth="1"/>
    <col min="1026" max="1026" width="95.85546875" style="378" customWidth="1"/>
    <col min="1027" max="1280" width="9.140625" style="378"/>
    <col min="1281" max="1281" width="72" style="378" customWidth="1"/>
    <col min="1282" max="1282" width="95.85546875" style="378" customWidth="1"/>
    <col min="1283" max="1536" width="9.140625" style="378"/>
    <col min="1537" max="1537" width="72" style="378" customWidth="1"/>
    <col min="1538" max="1538" width="95.85546875" style="378" customWidth="1"/>
    <col min="1539" max="1792" width="9.140625" style="378"/>
    <col min="1793" max="1793" width="72" style="378" customWidth="1"/>
    <col min="1794" max="1794" width="95.85546875" style="378" customWidth="1"/>
    <col min="1795" max="2048" width="9.140625" style="378"/>
    <col min="2049" max="2049" width="72" style="378" customWidth="1"/>
    <col min="2050" max="2050" width="95.85546875" style="378" customWidth="1"/>
    <col min="2051" max="2304" width="9.140625" style="378"/>
    <col min="2305" max="2305" width="72" style="378" customWidth="1"/>
    <col min="2306" max="2306" width="95.85546875" style="378" customWidth="1"/>
    <col min="2307" max="2560" width="9.140625" style="378"/>
    <col min="2561" max="2561" width="72" style="378" customWidth="1"/>
    <col min="2562" max="2562" width="95.85546875" style="378" customWidth="1"/>
    <col min="2563" max="2816" width="9.140625" style="378"/>
    <col min="2817" max="2817" width="72" style="378" customWidth="1"/>
    <col min="2818" max="2818" width="95.85546875" style="378" customWidth="1"/>
    <col min="2819" max="3072" width="9.140625" style="378"/>
    <col min="3073" max="3073" width="72" style="378" customWidth="1"/>
    <col min="3074" max="3074" width="95.85546875" style="378" customWidth="1"/>
    <col min="3075" max="3328" width="9.140625" style="378"/>
    <col min="3329" max="3329" width="72" style="378" customWidth="1"/>
    <col min="3330" max="3330" width="95.85546875" style="378" customWidth="1"/>
    <col min="3331" max="3584" width="9.140625" style="378"/>
    <col min="3585" max="3585" width="72" style="378" customWidth="1"/>
    <col min="3586" max="3586" width="95.85546875" style="378" customWidth="1"/>
    <col min="3587" max="3840" width="9.140625" style="378"/>
    <col min="3841" max="3841" width="72" style="378" customWidth="1"/>
    <col min="3842" max="3842" width="95.85546875" style="378" customWidth="1"/>
    <col min="3843" max="4096" width="9.140625" style="378"/>
    <col min="4097" max="4097" width="72" style="378" customWidth="1"/>
    <col min="4098" max="4098" width="95.85546875" style="378" customWidth="1"/>
    <col min="4099" max="4352" width="9.140625" style="378"/>
    <col min="4353" max="4353" width="72" style="378" customWidth="1"/>
    <col min="4354" max="4354" width="95.85546875" style="378" customWidth="1"/>
    <col min="4355" max="4608" width="9.140625" style="378"/>
    <col min="4609" max="4609" width="72" style="378" customWidth="1"/>
    <col min="4610" max="4610" width="95.85546875" style="378" customWidth="1"/>
    <col min="4611" max="4864" width="9.140625" style="378"/>
    <col min="4865" max="4865" width="72" style="378" customWidth="1"/>
    <col min="4866" max="4866" width="95.85546875" style="378" customWidth="1"/>
    <col min="4867" max="5120" width="9.140625" style="378"/>
    <col min="5121" max="5121" width="72" style="378" customWidth="1"/>
    <col min="5122" max="5122" width="95.85546875" style="378" customWidth="1"/>
    <col min="5123" max="5376" width="9.140625" style="378"/>
    <col min="5377" max="5377" width="72" style="378" customWidth="1"/>
    <col min="5378" max="5378" width="95.85546875" style="378" customWidth="1"/>
    <col min="5379" max="5632" width="9.140625" style="378"/>
    <col min="5633" max="5633" width="72" style="378" customWidth="1"/>
    <col min="5634" max="5634" width="95.85546875" style="378" customWidth="1"/>
    <col min="5635" max="5888" width="9.140625" style="378"/>
    <col min="5889" max="5889" width="72" style="378" customWidth="1"/>
    <col min="5890" max="5890" width="95.85546875" style="378" customWidth="1"/>
    <col min="5891" max="6144" width="9.140625" style="378"/>
    <col min="6145" max="6145" width="72" style="378" customWidth="1"/>
    <col min="6146" max="6146" width="95.85546875" style="378" customWidth="1"/>
    <col min="6147" max="6400" width="9.140625" style="378"/>
    <col min="6401" max="6401" width="72" style="378" customWidth="1"/>
    <col min="6402" max="6402" width="95.85546875" style="378" customWidth="1"/>
    <col min="6403" max="6656" width="9.140625" style="378"/>
    <col min="6657" max="6657" width="72" style="378" customWidth="1"/>
    <col min="6658" max="6658" width="95.85546875" style="378" customWidth="1"/>
    <col min="6659" max="6912" width="9.140625" style="378"/>
    <col min="6913" max="6913" width="72" style="378" customWidth="1"/>
    <col min="6914" max="6914" width="95.85546875" style="378" customWidth="1"/>
    <col min="6915" max="7168" width="9.140625" style="378"/>
    <col min="7169" max="7169" width="72" style="378" customWidth="1"/>
    <col min="7170" max="7170" width="95.85546875" style="378" customWidth="1"/>
    <col min="7171" max="7424" width="9.140625" style="378"/>
    <col min="7425" max="7425" width="72" style="378" customWidth="1"/>
    <col min="7426" max="7426" width="95.85546875" style="378" customWidth="1"/>
    <col min="7427" max="7680" width="9.140625" style="378"/>
    <col min="7681" max="7681" width="72" style="378" customWidth="1"/>
    <col min="7682" max="7682" width="95.85546875" style="378" customWidth="1"/>
    <col min="7683" max="7936" width="9.140625" style="378"/>
    <col min="7937" max="7937" width="72" style="378" customWidth="1"/>
    <col min="7938" max="7938" width="95.85546875" style="378" customWidth="1"/>
    <col min="7939" max="8192" width="9.140625" style="378"/>
    <col min="8193" max="8193" width="72" style="378" customWidth="1"/>
    <col min="8194" max="8194" width="95.85546875" style="378" customWidth="1"/>
    <col min="8195" max="8448" width="9.140625" style="378"/>
    <col min="8449" max="8449" width="72" style="378" customWidth="1"/>
    <col min="8450" max="8450" width="95.85546875" style="378" customWidth="1"/>
    <col min="8451" max="8704" width="9.140625" style="378"/>
    <col min="8705" max="8705" width="72" style="378" customWidth="1"/>
    <col min="8706" max="8706" width="95.85546875" style="378" customWidth="1"/>
    <col min="8707" max="8960" width="9.140625" style="378"/>
    <col min="8961" max="8961" width="72" style="378" customWidth="1"/>
    <col min="8962" max="8962" width="95.85546875" style="378" customWidth="1"/>
    <col min="8963" max="9216" width="9.140625" style="378"/>
    <col min="9217" max="9217" width="72" style="378" customWidth="1"/>
    <col min="9218" max="9218" width="95.85546875" style="378" customWidth="1"/>
    <col min="9219" max="9472" width="9.140625" style="378"/>
    <col min="9473" max="9473" width="72" style="378" customWidth="1"/>
    <col min="9474" max="9474" width="95.85546875" style="378" customWidth="1"/>
    <col min="9475" max="9728" width="9.140625" style="378"/>
    <col min="9729" max="9729" width="72" style="378" customWidth="1"/>
    <col min="9730" max="9730" width="95.85546875" style="378" customWidth="1"/>
    <col min="9731" max="9984" width="9.140625" style="378"/>
    <col min="9985" max="9985" width="72" style="378" customWidth="1"/>
    <col min="9986" max="9986" width="95.85546875" style="378" customWidth="1"/>
    <col min="9987" max="10240" width="9.140625" style="378"/>
    <col min="10241" max="10241" width="72" style="378" customWidth="1"/>
    <col min="10242" max="10242" width="95.85546875" style="378" customWidth="1"/>
    <col min="10243" max="10496" width="9.140625" style="378"/>
    <col min="10497" max="10497" width="72" style="378" customWidth="1"/>
    <col min="10498" max="10498" width="95.85546875" style="378" customWidth="1"/>
    <col min="10499" max="10752" width="9.140625" style="378"/>
    <col min="10753" max="10753" width="72" style="378" customWidth="1"/>
    <col min="10754" max="10754" width="95.85546875" style="378" customWidth="1"/>
    <col min="10755" max="11008" width="9.140625" style="378"/>
    <col min="11009" max="11009" width="72" style="378" customWidth="1"/>
    <col min="11010" max="11010" width="95.85546875" style="378" customWidth="1"/>
    <col min="11011" max="11264" width="9.140625" style="378"/>
    <col min="11265" max="11265" width="72" style="378" customWidth="1"/>
    <col min="11266" max="11266" width="95.85546875" style="378" customWidth="1"/>
    <col min="11267" max="11520" width="9.140625" style="378"/>
    <col min="11521" max="11521" width="72" style="378" customWidth="1"/>
    <col min="11522" max="11522" width="95.85546875" style="378" customWidth="1"/>
    <col min="11523" max="11776" width="9.140625" style="378"/>
    <col min="11777" max="11777" width="72" style="378" customWidth="1"/>
    <col min="11778" max="11778" width="95.85546875" style="378" customWidth="1"/>
    <col min="11779" max="12032" width="9.140625" style="378"/>
    <col min="12033" max="12033" width="72" style="378" customWidth="1"/>
    <col min="12034" max="12034" width="95.85546875" style="378" customWidth="1"/>
    <col min="12035" max="12288" width="9.140625" style="378"/>
    <col min="12289" max="12289" width="72" style="378" customWidth="1"/>
    <col min="12290" max="12290" width="95.85546875" style="378" customWidth="1"/>
    <col min="12291" max="12544" width="9.140625" style="378"/>
    <col min="12545" max="12545" width="72" style="378" customWidth="1"/>
    <col min="12546" max="12546" width="95.85546875" style="378" customWidth="1"/>
    <col min="12547" max="12800" width="9.140625" style="378"/>
    <col min="12801" max="12801" width="72" style="378" customWidth="1"/>
    <col min="12802" max="12802" width="95.85546875" style="378" customWidth="1"/>
    <col min="12803" max="13056" width="9.140625" style="378"/>
    <col min="13057" max="13057" width="72" style="378" customWidth="1"/>
    <col min="13058" max="13058" width="95.85546875" style="378" customWidth="1"/>
    <col min="13059" max="13312" width="9.140625" style="378"/>
    <col min="13313" max="13313" width="72" style="378" customWidth="1"/>
    <col min="13314" max="13314" width="95.85546875" style="378" customWidth="1"/>
    <col min="13315" max="13568" width="9.140625" style="378"/>
    <col min="13569" max="13569" width="72" style="378" customWidth="1"/>
    <col min="13570" max="13570" width="95.85546875" style="378" customWidth="1"/>
    <col min="13571" max="13824" width="9.140625" style="378"/>
    <col min="13825" max="13825" width="72" style="378" customWidth="1"/>
    <col min="13826" max="13826" width="95.85546875" style="378" customWidth="1"/>
    <col min="13827" max="14080" width="9.140625" style="378"/>
    <col min="14081" max="14081" width="72" style="378" customWidth="1"/>
    <col min="14082" max="14082" width="95.85546875" style="378" customWidth="1"/>
    <col min="14083" max="14336" width="9.140625" style="378"/>
    <col min="14337" max="14337" width="72" style="378" customWidth="1"/>
    <col min="14338" max="14338" width="95.85546875" style="378" customWidth="1"/>
    <col min="14339" max="14592" width="9.140625" style="378"/>
    <col min="14593" max="14593" width="72" style="378" customWidth="1"/>
    <col min="14594" max="14594" width="95.85546875" style="378" customWidth="1"/>
    <col min="14595" max="14848" width="9.140625" style="378"/>
    <col min="14849" max="14849" width="72" style="378" customWidth="1"/>
    <col min="14850" max="14850" width="95.85546875" style="378" customWidth="1"/>
    <col min="14851" max="15104" width="9.140625" style="378"/>
    <col min="15105" max="15105" width="72" style="378" customWidth="1"/>
    <col min="15106" max="15106" width="95.85546875" style="378" customWidth="1"/>
    <col min="15107" max="15360" width="9.140625" style="378"/>
    <col min="15361" max="15361" width="72" style="378" customWidth="1"/>
    <col min="15362" max="15362" width="95.85546875" style="378" customWidth="1"/>
    <col min="15363" max="15616" width="9.140625" style="378"/>
    <col min="15617" max="15617" width="72" style="378" customWidth="1"/>
    <col min="15618" max="15618" width="95.85546875" style="378" customWidth="1"/>
    <col min="15619" max="15872" width="9.140625" style="378"/>
    <col min="15873" max="15873" width="72" style="378" customWidth="1"/>
    <col min="15874" max="15874" width="95.85546875" style="378" customWidth="1"/>
    <col min="15875" max="16128" width="9.140625" style="378"/>
    <col min="16129" max="16129" width="72" style="378" customWidth="1"/>
    <col min="16130" max="16130" width="95.85546875" style="378" customWidth="1"/>
    <col min="16131" max="16384" width="9.140625" style="378"/>
  </cols>
  <sheetData>
    <row r="1" spans="1:1" ht="18" customHeight="1" x14ac:dyDescent="0.25">
      <c r="A1" s="402" t="s">
        <v>2138</v>
      </c>
    </row>
    <row r="2" spans="1:1" ht="18" customHeight="1" x14ac:dyDescent="0.25">
      <c r="A2" s="403" t="s">
        <v>2139</v>
      </c>
    </row>
    <row r="3" spans="1:1" ht="18" customHeight="1" x14ac:dyDescent="0.25">
      <c r="A3" s="404" t="str">
        <f>CONCATENATE("Player Name: ",playername)</f>
        <v xml:space="preserve">Player Name: </v>
      </c>
    </row>
    <row r="4" spans="1:1" ht="18" customHeight="1" x14ac:dyDescent="0.25">
      <c r="A4" s="404" t="str">
        <f>CONCATENATE("IOD Number: ",membernumber)</f>
        <v xml:space="preserve">IOD Number: </v>
      </c>
    </row>
    <row r="5" spans="1:1" ht="18" customHeight="1" x14ac:dyDescent="0.25">
      <c r="A5" s="404" t="str">
        <f>CONCATENATE("Email: ",emailaddress)</f>
        <v xml:space="preserve">Email: </v>
      </c>
    </row>
    <row r="6" spans="1:1" ht="18" customHeight="1" x14ac:dyDescent="0.25">
      <c r="A6" s="404"/>
    </row>
    <row r="7" spans="1:1" ht="18" customHeight="1" x14ac:dyDescent="0.25">
      <c r="A7" s="404" t="str">
        <f>CONCATENATE("Character Name: ",charname)</f>
        <v xml:space="preserve">Character Name: </v>
      </c>
    </row>
    <row r="8" spans="1:1" ht="18" customHeight="1" x14ac:dyDescent="0.25">
      <c r="A8" s="404" t="str">
        <f>CONCATENATE("Age: ",age)</f>
        <v xml:space="preserve">Age: </v>
      </c>
    </row>
    <row r="9" spans="1:1" ht="18" customHeight="1" x14ac:dyDescent="0.25">
      <c r="A9" s="404" t="str">
        <f>CONCATENATE("Concept: ",concept)</f>
        <v xml:space="preserve">Concept: </v>
      </c>
    </row>
    <row r="10" spans="1:1" ht="18" customHeight="1" x14ac:dyDescent="0.25">
      <c r="A10" s="404" t="str">
        <f>CONCATENATE("Title: ",title)</f>
        <v xml:space="preserve">Title: </v>
      </c>
    </row>
    <row r="11" spans="1:1" ht="18" customHeight="1" x14ac:dyDescent="0.25">
      <c r="A11" s="404"/>
    </row>
    <row r="12" spans="1:1" ht="18" customHeight="1" x14ac:dyDescent="0.25">
      <c r="A12" s="404" t="str">
        <f>CONCATENATE("Virtue: ",virtuename)</f>
        <v xml:space="preserve">Virtue: </v>
      </c>
    </row>
    <row r="13" spans="1:1" ht="18" customHeight="1" x14ac:dyDescent="0.25">
      <c r="A13" s="404" t="str">
        <f>CONCATENATE("Vice: ",vicename)</f>
        <v xml:space="preserve">Vice: </v>
      </c>
    </row>
    <row r="14" spans="1:1" ht="18" customHeight="1" x14ac:dyDescent="0.25">
      <c r="A14" s="404"/>
    </row>
    <row r="15" spans="1:1" ht="18" customHeight="1" x14ac:dyDescent="0.25">
      <c r="A15" s="404" t="str">
        <f>CONCATENATE("Blood Potency: ",BP)</f>
        <v>Blood Potency: 1</v>
      </c>
    </row>
    <row r="16" spans="1:1" ht="18" customHeight="1" x14ac:dyDescent="0.25">
      <c r="A16" s="404" t="str">
        <f>CONCATENATE("Clan: ",clan1)</f>
        <v xml:space="preserve">Clan: </v>
      </c>
    </row>
    <row r="17" spans="1:1" ht="18" customHeight="1" x14ac:dyDescent="0.25">
      <c r="A17" s="404" t="str">
        <f>CONCATENATE("Bloodline: ",bloodline)</f>
        <v xml:space="preserve">Bloodline: </v>
      </c>
    </row>
    <row r="18" spans="1:1" ht="18" customHeight="1" x14ac:dyDescent="0.25">
      <c r="A18" s="404" t="str">
        <f>CONCATENATE("Covenant: ",covenant1)</f>
        <v xml:space="preserve">Covenant: </v>
      </c>
    </row>
    <row r="19" spans="1:1" ht="18" customHeight="1" x14ac:dyDescent="0.25">
      <c r="A19" s="404" t="str">
        <f>CONCATENATE("Dual Covenant:",dualcov)</f>
        <v>Dual Covenant:</v>
      </c>
    </row>
    <row r="20" spans="1:1" ht="18" customHeight="1" x14ac:dyDescent="0.25">
      <c r="A20" s="404"/>
    </row>
    <row r="21" spans="1:1" ht="18" customHeight="1" x14ac:dyDescent="0.25">
      <c r="A21" s="405" t="str">
        <f ca="1">CONCATENATE("Size: ",Size)</f>
        <v>Size: 5</v>
      </c>
    </row>
    <row r="22" spans="1:1" ht="18" customHeight="1" x14ac:dyDescent="0.25">
      <c r="A22" s="405" t="str">
        <f ca="1">CONCATENATE("Speed: ",speedadj)</f>
        <v>Speed: 7</v>
      </c>
    </row>
    <row r="23" spans="1:1" ht="18" customHeight="1" x14ac:dyDescent="0.25">
      <c r="A23" s="405" t="str">
        <f ca="1">CONCATENATE("Init. Mod: ",initiativeadj)</f>
        <v>Init. Mod: 2</v>
      </c>
    </row>
    <row r="24" spans="1:1" ht="18" customHeight="1" x14ac:dyDescent="0.25">
      <c r="A24" s="405" t="str">
        <f>CONCATENATE("Defense: ",defenseadj)</f>
        <v>Defense: 1</v>
      </c>
    </row>
    <row r="25" spans="1:1" ht="18" customHeight="1" x14ac:dyDescent="0.25">
      <c r="A25" s="405" t="str">
        <f>CONCATENATE("Armor: ",armour," / ",armourgun)</f>
        <v xml:space="preserve">Armor:  / </v>
      </c>
    </row>
    <row r="26" spans="1:1" ht="18" customHeight="1" x14ac:dyDescent="0.25">
      <c r="A26" s="405"/>
    </row>
    <row r="27" spans="1:1" ht="18" customHeight="1" x14ac:dyDescent="0.25">
      <c r="A27" s="405" t="str">
        <f ca="1">CONCATENATE("Health: ",health)</f>
        <v>Health: 6</v>
      </c>
    </row>
    <row r="28" spans="1:1" ht="18" customHeight="1" x14ac:dyDescent="0.25">
      <c r="A28" s="405" t="str">
        <f>CONCATENATE("Willpower: ",willpower)</f>
        <v>Willpower: 2</v>
      </c>
    </row>
    <row r="29" spans="1:1" ht="18" customHeight="1" x14ac:dyDescent="0.25">
      <c r="A29" s="405" t="str">
        <f>CONCATENATE("Vitae: ",curvitae)</f>
        <v xml:space="preserve">Vitae: </v>
      </c>
    </row>
    <row r="30" spans="1:1" ht="18" customHeight="1" x14ac:dyDescent="0.25">
      <c r="A30" s="405" t="str">
        <f>CONCATENATE("Humanity : ",humanity)</f>
        <v>Humanity : 5</v>
      </c>
    </row>
    <row r="31" spans="1:1" ht="18" customHeight="1" x14ac:dyDescent="0.25">
      <c r="A31" s="404" t="str">
        <f>CONCATENATE("Derangements: ",derangements)</f>
        <v>Derangements: ,,,,,,,,,</v>
      </c>
    </row>
    <row r="32" spans="1:1" ht="18" customHeight="1" x14ac:dyDescent="0.25">
      <c r="A32" s="405" t="str">
        <f>CONCATENATE("Flaw: ",IF(flaw&lt;&gt;"",flaw,""))</f>
        <v xml:space="preserve">Flaw: </v>
      </c>
    </row>
    <row r="33" spans="1:1" ht="18" customHeight="1" x14ac:dyDescent="0.25">
      <c r="A33" s="404"/>
    </row>
    <row r="34" spans="1:1" ht="18" customHeight="1" x14ac:dyDescent="0.25">
      <c r="A34" s="404" t="s">
        <v>2140</v>
      </c>
    </row>
    <row r="35" spans="1:1" ht="18" customHeight="1" x14ac:dyDescent="0.25">
      <c r="A35" s="406" t="s">
        <v>2141</v>
      </c>
    </row>
    <row r="36" spans="1:1" ht="18" customHeight="1" x14ac:dyDescent="0.25">
      <c r="A36" s="404" t="str">
        <f>CONCATENATE("Intelligence: ",intelligence)</f>
        <v>Intelligence: 1</v>
      </c>
    </row>
    <row r="37" spans="1:1" ht="18" customHeight="1" x14ac:dyDescent="0.25">
      <c r="A37" s="404" t="str">
        <f>CONCATENATE("Wits        : ",wits)</f>
        <v>Wits        : 1</v>
      </c>
    </row>
    <row r="38" spans="1:1" ht="18" customHeight="1" x14ac:dyDescent="0.25">
      <c r="A38" s="404" t="str">
        <f>CONCATENATE("Resolve     : ",resolve)</f>
        <v>Resolve     : 1</v>
      </c>
    </row>
    <row r="39" spans="1:1" ht="18" customHeight="1" x14ac:dyDescent="0.25">
      <c r="A39" s="404"/>
    </row>
    <row r="40" spans="1:1" ht="18" customHeight="1" x14ac:dyDescent="0.25">
      <c r="A40" s="404" t="s">
        <v>2142</v>
      </c>
    </row>
    <row r="41" spans="1:1" ht="18" customHeight="1" x14ac:dyDescent="0.25">
      <c r="A41" s="406" t="s">
        <v>2141</v>
      </c>
    </row>
    <row r="42" spans="1:1" ht="18" customHeight="1" x14ac:dyDescent="0.25">
      <c r="A42" s="404" t="str">
        <f>CONCATENATE("Strength : ",strength)</f>
        <v>Strength : 1</v>
      </c>
    </row>
    <row r="43" spans="1:1" ht="18" customHeight="1" x14ac:dyDescent="0.25">
      <c r="A43" s="404" t="str">
        <f>CONCATENATE("Dexterity: ",dexterity)</f>
        <v>Dexterity: 1</v>
      </c>
    </row>
    <row r="44" spans="1:1" ht="18" customHeight="1" x14ac:dyDescent="0.25">
      <c r="A44" s="404" t="str">
        <f>CONCATENATE("Stamina  : ",stamina)</f>
        <v>Stamina  : 1</v>
      </c>
    </row>
    <row r="45" spans="1:1" ht="18" customHeight="1" x14ac:dyDescent="0.25">
      <c r="A45" s="404"/>
    </row>
    <row r="46" spans="1:1" ht="18" customHeight="1" x14ac:dyDescent="0.25">
      <c r="A46" s="404" t="s">
        <v>2143</v>
      </c>
    </row>
    <row r="47" spans="1:1" ht="18" customHeight="1" x14ac:dyDescent="0.25">
      <c r="A47" s="406" t="s">
        <v>2141</v>
      </c>
    </row>
    <row r="48" spans="1:1" ht="18" customHeight="1" x14ac:dyDescent="0.25">
      <c r="A48" s="404" t="str">
        <f>CONCATENATE("Presence    : ",presence)</f>
        <v>Presence    : 1</v>
      </c>
    </row>
    <row r="49" spans="1:1" ht="18" customHeight="1" x14ac:dyDescent="0.25">
      <c r="A49" s="404" t="str">
        <f>CONCATENATE("Manipulation: ",manipulation)</f>
        <v>Manipulation: 1</v>
      </c>
    </row>
    <row r="50" spans="1:1" ht="18" customHeight="1" x14ac:dyDescent="0.25">
      <c r="A50" s="404" t="str">
        <f>CONCATENATE("Composure   : ",composure)</f>
        <v>Composure   : 1</v>
      </c>
    </row>
    <row r="51" spans="1:1" ht="18" customHeight="1" x14ac:dyDescent="0.25">
      <c r="A51" s="404"/>
    </row>
    <row r="52" spans="1:1" ht="18" customHeight="1" x14ac:dyDescent="0.25">
      <c r="A52" s="404" t="s">
        <v>2144</v>
      </c>
    </row>
    <row r="53" spans="1:1" ht="18" customHeight="1" x14ac:dyDescent="0.25">
      <c r="A53" s="406" t="s">
        <v>2141</v>
      </c>
    </row>
    <row r="54" spans="1:1" ht="18" customHeight="1" x14ac:dyDescent="0.25">
      <c r="A54" s="404" t="str">
        <f>CONCATENATE("Academics ",IF(acaspec&lt;&gt;"",CONCATENATE("(",acaspec,")"),""),": ",IF(academics&gt;0,academics,0))</f>
        <v>Academics : 0</v>
      </c>
    </row>
    <row r="55" spans="1:1" ht="18" customHeight="1" x14ac:dyDescent="0.25">
      <c r="A55" s="404" t="str">
        <f>CONCATENATE("Computer ",IF(compspec&lt;&gt;"",CONCATENATE("(",compspec,")"),""),": ",IF(computer&gt;0,computer,0))</f>
        <v>Computer : 0</v>
      </c>
    </row>
    <row r="56" spans="1:1" ht="18" customHeight="1" x14ac:dyDescent="0.25">
      <c r="A56" s="404" t="str">
        <f>CONCATENATE("Craft ",IF(craftspec&lt;&gt;"",CONCATENATE("(",craftspec,")"),""),": ",IF(craft&gt;0,craft,0))</f>
        <v>Craft : 0</v>
      </c>
    </row>
    <row r="57" spans="1:1" ht="18" customHeight="1" x14ac:dyDescent="0.25">
      <c r="A57" s="404" t="str">
        <f>CONCATENATE("Investigation ",IF(invspec&lt;&gt;"",CONCATENATE("(",invspec,")"),""),": ",IF(investigation&gt;0,investigation,0))</f>
        <v>Investigation : 0</v>
      </c>
    </row>
    <row r="58" spans="1:1" ht="18" customHeight="1" x14ac:dyDescent="0.25">
      <c r="A58" s="404" t="str">
        <f>CONCATENATE("Medicine ",IF(medspec&lt;&gt;"",CONCATENATE("(",medspec,")"),""),": ",IF(medicine&gt;0,medicine,0))</f>
        <v>Medicine : 0</v>
      </c>
    </row>
    <row r="59" spans="1:1" ht="18" customHeight="1" x14ac:dyDescent="0.25">
      <c r="A59" s="404" t="str">
        <f>CONCATENATE("Occult ",IF(occspec&lt;&gt;"",CONCATENATE("(",occspec,")"),""),": ",IF(occult&gt;0,occult,0))</f>
        <v>Occult : 0</v>
      </c>
    </row>
    <row r="60" spans="1:1" ht="18" customHeight="1" x14ac:dyDescent="0.25">
      <c r="A60" s="404" t="str">
        <f>CONCATENATE("Politics ",IF(polspec&lt;&gt;"",CONCATENATE("(",polspec,")"),""),": ",IF(politics&gt;0,politics,0))</f>
        <v>Politics : 0</v>
      </c>
    </row>
    <row r="61" spans="1:1" ht="18" customHeight="1" x14ac:dyDescent="0.25">
      <c r="A61" s="404" t="str">
        <f>CONCATENATE("Science ",IF(scispec&lt;&gt;"",CONCATENATE("(",scispec,")"),""),": ",IF(science&gt;0,science,0))</f>
        <v>Science : 0</v>
      </c>
    </row>
    <row r="62" spans="1:1" ht="18" customHeight="1" x14ac:dyDescent="0.25">
      <c r="A62" s="404"/>
    </row>
    <row r="63" spans="1:1" ht="18" customHeight="1" x14ac:dyDescent="0.25">
      <c r="A63" s="404" t="s">
        <v>2145</v>
      </c>
    </row>
    <row r="64" spans="1:1" ht="18" customHeight="1" x14ac:dyDescent="0.25">
      <c r="A64" s="406" t="s">
        <v>2141</v>
      </c>
    </row>
    <row r="65" spans="1:1" ht="18" customHeight="1" x14ac:dyDescent="0.25">
      <c r="A65" s="404" t="str">
        <f>CONCATENATE("Athletics ",IF(athspec&lt;&gt;"",CONCATENATE("(",athspec,")"),""),": ",IF(athletics&gt;0,athletics,0))</f>
        <v>Athletics : 0</v>
      </c>
    </row>
    <row r="66" spans="1:1" ht="18" customHeight="1" x14ac:dyDescent="0.25">
      <c r="A66" s="404" t="str">
        <f>CONCATENATE("Brawl ",IF(brawlspec&lt;&gt;"",CONCATENATE("(",brawlspec,")"),""),": ",IF(brawl&gt;0,brawl,0))</f>
        <v>Brawl : 0</v>
      </c>
    </row>
    <row r="67" spans="1:1" ht="18" customHeight="1" x14ac:dyDescent="0.25">
      <c r="A67" s="404" t="str">
        <f>CONCATENATE("Drive ",IF(drispec&lt;&gt;"",CONCATENATE("(",drispec,")"),""),": ",IF(drive&gt;0,drive,0))</f>
        <v>Drive : 0</v>
      </c>
    </row>
    <row r="68" spans="1:1" ht="18" customHeight="1" x14ac:dyDescent="0.25">
      <c r="A68" s="404" t="str">
        <f>CONCATENATE("Firearms ",IF(firespec&lt;&gt;"",CONCATENATE("(",firespec,")"),""),": ",IF(firearms&gt;0,firearms,0))</f>
        <v>Firearms : 0</v>
      </c>
    </row>
    <row r="69" spans="1:1" ht="18" customHeight="1" x14ac:dyDescent="0.25">
      <c r="A69" s="404" t="str">
        <f>CONCATENATE("Larceny ",IF(larcspec&lt;&gt;"",CONCATENATE("(",larcspec,")"),""),": ",IF(larceny&gt;0,larceny,0))</f>
        <v>Larceny : 0</v>
      </c>
    </row>
    <row r="70" spans="1:1" ht="18" customHeight="1" x14ac:dyDescent="0.25">
      <c r="A70" s="404" t="str">
        <f>CONCATENATE("Stealth ",IF(stealthspec&lt;&gt;"",CONCATENATE("(",stealthspec,")"),""),": ",IF(stealth&gt;0,stealth,0))</f>
        <v>Stealth : 0</v>
      </c>
    </row>
    <row r="71" spans="1:1" ht="18" customHeight="1" x14ac:dyDescent="0.25">
      <c r="A71" s="404" t="str">
        <f>CONCATENATE("Survival ",IF(survspec&lt;&gt;"",CONCATENATE("(",survspec,")"),""),": ",IF(survival&gt;0,survival,0))</f>
        <v>Survival : 0</v>
      </c>
    </row>
    <row r="72" spans="1:1" ht="18" customHeight="1" x14ac:dyDescent="0.25">
      <c r="A72" s="404" t="str">
        <f>CONCATENATE("Weaponry ",IF(weapspec&lt;&gt;"",CONCATENATE("(",weapspec,")"),""),": ",IF(weaponry&gt;0,weaponry,0))</f>
        <v>Weaponry : 0</v>
      </c>
    </row>
    <row r="73" spans="1:1" ht="18" customHeight="1" x14ac:dyDescent="0.25">
      <c r="A73" s="404"/>
    </row>
    <row r="74" spans="1:1" ht="18" customHeight="1" x14ac:dyDescent="0.25">
      <c r="A74" s="404" t="s">
        <v>2146</v>
      </c>
    </row>
    <row r="75" spans="1:1" ht="18" customHeight="1" x14ac:dyDescent="0.25">
      <c r="A75" s="406" t="s">
        <v>2141</v>
      </c>
    </row>
    <row r="76" spans="1:1" ht="18" customHeight="1" x14ac:dyDescent="0.25">
      <c r="A76" s="404" t="str">
        <f>CONCATENATE("Animal Ken ",IF(animspec&lt;&gt;"",CONCATENATE("(",animspec,")"),""),": ",IF(animalken&gt;0,animalken,0))</f>
        <v>Animal Ken : 0</v>
      </c>
    </row>
    <row r="77" spans="1:1" ht="18" customHeight="1" x14ac:dyDescent="0.25">
      <c r="A77" s="404" t="str">
        <f>CONCATENATE("Empathy ",IF(empspec&lt;&gt;"",CONCATENATE("(",empspec,")"),""),": ",IF(empathy&gt;0,empathy,0))</f>
        <v>Empathy : 0</v>
      </c>
    </row>
    <row r="78" spans="1:1" ht="18" customHeight="1" x14ac:dyDescent="0.25">
      <c r="A78" s="404" t="str">
        <f>CONCATENATE("Expression ",IF(exprespec&lt;&gt;"",CONCATENATE("(",exprespec,")"),""),": ",IF(expression&gt;0,expression,0))</f>
        <v>Expression : 0</v>
      </c>
    </row>
    <row r="79" spans="1:1" ht="18" customHeight="1" x14ac:dyDescent="0.25">
      <c r="A79" s="404" t="str">
        <f>CONCATENATE("Intimidation ",IF(intimspec&lt;&gt;"",CONCATENATE("(",intimspec,")"),""),": ",IF(intimidation&gt;0,intimidation,0))</f>
        <v>Intimidation : 0</v>
      </c>
    </row>
    <row r="80" spans="1:1" ht="18" customHeight="1" x14ac:dyDescent="0.25">
      <c r="A80" s="404" t="str">
        <f>CONCATENATE("Persuasion ",IF(persspec&lt;&gt;"",CONCATENATE("(",persspec,")"),""),": ",IF(persuasion&gt;0,persuasion,0))</f>
        <v>Persuasion : 0</v>
      </c>
    </row>
    <row r="81" spans="1:1" ht="18" customHeight="1" x14ac:dyDescent="0.25">
      <c r="A81" s="404" t="str">
        <f>CONCATENATE("Socialize ",IF(socspec&lt;&gt;"",CONCATENATE("(",socspec,")"),""),": ",IF(socialize&gt;0,socialize,0))</f>
        <v>Socialize : 0</v>
      </c>
    </row>
    <row r="82" spans="1:1" ht="18" customHeight="1" x14ac:dyDescent="0.25">
      <c r="A82" s="404" t="str">
        <f>CONCATENATE("Streetwise ",IF(streetspec&lt;&gt;"",CONCATENATE("(",streetspec,")"),""),": ",IF(streetwise&gt;0,streetwise,0))</f>
        <v>Streetwise : 0</v>
      </c>
    </row>
    <row r="83" spans="1:1" ht="18" customHeight="1" x14ac:dyDescent="0.25">
      <c r="A83" s="404" t="str">
        <f>CONCATENATE("Subterfuge ",IF(subtspec&lt;&gt;"",CONCATENATE("(",subtspec,")"),""),": ",IF(subterfuge&gt;0,subterfuge,0))</f>
        <v>Subterfuge : 0</v>
      </c>
    </row>
    <row r="84" spans="1:1" ht="18" customHeight="1" x14ac:dyDescent="0.25">
      <c r="A84" s="404"/>
    </row>
    <row r="85" spans="1:1" ht="18" customHeight="1" x14ac:dyDescent="0.25">
      <c r="A85" s="404" t="s">
        <v>178</v>
      </c>
    </row>
    <row r="86" spans="1:1" ht="18" customHeight="1" x14ac:dyDescent="0.25">
      <c r="A86" s="406" t="s">
        <v>2141</v>
      </c>
    </row>
    <row r="87" spans="1:1" ht="18" customHeight="1" x14ac:dyDescent="0.25">
      <c r="A87" s="404" t="str">
        <f>IF('Character Sheet'!L60&lt;&gt;"",CONCATENATE('Character Sheet'!L60,": ",animalism,),"")</f>
        <v>Animalism: 0</v>
      </c>
    </row>
    <row r="88" spans="1:1" ht="18" customHeight="1" x14ac:dyDescent="0.25">
      <c r="A88" s="404" t="str">
        <f>IF('Character Sheet'!L61&lt;&gt;"",CONCATENATE('Character Sheet'!L61,": ",auspex,),"")</f>
        <v>Auspex: 0</v>
      </c>
    </row>
    <row r="89" spans="1:1" ht="18" customHeight="1" x14ac:dyDescent="0.25">
      <c r="A89" s="404" t="str">
        <f>IF('Character Sheet'!L62&lt;&gt;"",CONCATENATE('Character Sheet'!L62,": ",celerity,),"")</f>
        <v>Celerity: 0</v>
      </c>
    </row>
    <row r="90" spans="1:1" ht="18" customHeight="1" x14ac:dyDescent="0.25">
      <c r="A90" s="404" t="str">
        <f>IF('Character Sheet'!L63&lt;&gt;"",CONCATENATE('Character Sheet'!L63,": ",dominate,),"")</f>
        <v>Dominate: 0</v>
      </c>
    </row>
    <row r="91" spans="1:1" ht="18" customHeight="1" x14ac:dyDescent="0.25">
      <c r="A91" s="404" t="str">
        <f>IF('Character Sheet'!L64&lt;&gt;"",CONCATENATE('Character Sheet'!L64,": ",majesty,),"")</f>
        <v>Majesty: 0</v>
      </c>
    </row>
    <row r="92" spans="1:1" ht="18" customHeight="1" x14ac:dyDescent="0.25">
      <c r="A92" s="404" t="str">
        <f>IF('Character Sheet'!L65&lt;&gt;"",CONCATENATE('Character Sheet'!L65,": ",nightmare,),"")</f>
        <v>Nightmare: 0</v>
      </c>
    </row>
    <row r="93" spans="1:1" ht="18" customHeight="1" x14ac:dyDescent="0.25">
      <c r="A93" s="404" t="str">
        <f>IF('Character Sheet'!L66&lt;&gt;"",CONCATENATE('Character Sheet'!L66,": ",obfuscate,),"")</f>
        <v>Obfuscate: 0</v>
      </c>
    </row>
    <row r="94" spans="1:1" ht="18" customHeight="1" x14ac:dyDescent="0.25">
      <c r="A94" s="404" t="str">
        <f>IF('Character Sheet'!L67&lt;&gt;"",CONCATENATE('Character Sheet'!L67,": ",protean,),"")</f>
        <v>Protean: 0</v>
      </c>
    </row>
    <row r="95" spans="1:1" ht="18" customHeight="1" x14ac:dyDescent="0.25">
      <c r="A95" s="404" t="str">
        <f>IF('Character Sheet'!L68&lt;&gt;"",CONCATENATE('Character Sheet'!L68,": ",resilience,),"")</f>
        <v>Resilience: 0</v>
      </c>
    </row>
    <row r="96" spans="1:1" ht="18" customHeight="1" x14ac:dyDescent="0.25">
      <c r="A96" s="404" t="str">
        <f>IF('Character Sheet'!L69&lt;&gt;"",CONCATENATE('Character Sheet'!L69,": ",vigor,),"")</f>
        <v>Vigor: 0</v>
      </c>
    </row>
    <row r="97" spans="1:1" ht="18" customHeight="1" x14ac:dyDescent="0.25">
      <c r="A97" s="404" t="str">
        <f>IF(OddDiscName&lt;&gt;"",CONCATENATE(OddDiscName,": ",BloodDis,),"")</f>
        <v/>
      </c>
    </row>
    <row r="98" spans="1:1" ht="18" customHeight="1" x14ac:dyDescent="0.25">
      <c r="A98" s="404" t="str">
        <f>IF('Character Sheet'!L70&lt;&gt;"",CONCATENATE('Character Sheet'!L70,": ",breath,),"")</f>
        <v>Breath Drinking: 0</v>
      </c>
    </row>
    <row r="99" spans="1:1" ht="18" customHeight="1" x14ac:dyDescent="0.25">
      <c r="A99" s="404" t="e">
        <f>IF('Character Sheet'!#REF!&lt;&gt;"",CONCATENATE('Character Sheet'!#REF!,": ",mortualia,),"")</f>
        <v>#REF!</v>
      </c>
    </row>
    <row r="100" spans="1:1" ht="18" customHeight="1" x14ac:dyDescent="0.25">
      <c r="A100" s="404" t="str">
        <f>IF('Character Sheet'!L71&lt;&gt;"",CONCATENATE('Character Sheet'!L71,": ",spoiling,),"")</f>
        <v>Spoiling: 0</v>
      </c>
    </row>
    <row r="101" spans="1:1" ht="18" customHeight="1" x14ac:dyDescent="0.25">
      <c r="A101" s="404"/>
    </row>
    <row r="102" spans="1:1" ht="18" customHeight="1" x14ac:dyDescent="0.25">
      <c r="A102" s="404" t="str">
        <f>IF('Character Sheet'!L72&lt;&gt;"",CONCATENATE('Character Sheet'!L72,": ",BloodDis,),"")</f>
        <v/>
      </c>
    </row>
    <row r="103" spans="1:1" ht="18" customHeight="1" x14ac:dyDescent="0.25">
      <c r="A103" s="404"/>
    </row>
    <row r="104" spans="1:1" ht="18" customHeight="1" x14ac:dyDescent="0.25">
      <c r="A104" s="404" t="str">
        <f>IF('Character Sheet'!L73&lt;&gt;"",CONCATENATE('Character Sheet'!L73,": ",cruac,),"")</f>
        <v>Crúac: 0</v>
      </c>
    </row>
    <row r="105" spans="1:1" ht="18" customHeight="1" x14ac:dyDescent="0.25">
      <c r="A105" s="404" t="str">
        <f>IF('Character Sheet'!L74&lt;&gt;"",CONCATENATE('Character Sheet'!L74,": ",theban,),"")</f>
        <v>Theban Sorcery: 0</v>
      </c>
    </row>
    <row r="106" spans="1:1" ht="18" customHeight="1" x14ac:dyDescent="0.25">
      <c r="A106" s="404"/>
    </row>
    <row r="107" spans="1:1" ht="18" customHeight="1" x14ac:dyDescent="0.25">
      <c r="A107" s="404" t="s">
        <v>2147</v>
      </c>
    </row>
    <row r="108" spans="1:1" ht="18" customHeight="1" x14ac:dyDescent="0.25">
      <c r="A108" s="406" t="s">
        <v>2141</v>
      </c>
    </row>
    <row r="109" spans="1:1" ht="18" customHeight="1" x14ac:dyDescent="0.25">
      <c r="A109" s="404" t="str">
        <f>IF('Character Sheet'!AC85&lt;&gt;"",'Character Sheet'!AC85,"")</f>
        <v>,,,</v>
      </c>
    </row>
    <row r="110" spans="1:1" ht="18" customHeight="1" x14ac:dyDescent="0.25">
      <c r="A110" s="404"/>
    </row>
    <row r="111" spans="1:1" ht="18" customHeight="1" x14ac:dyDescent="0.25">
      <c r="A111" s="404" t="s">
        <v>2148</v>
      </c>
    </row>
    <row r="112" spans="1:1" ht="18" customHeight="1" x14ac:dyDescent="0.25">
      <c r="A112" s="406" t="s">
        <v>2141</v>
      </c>
    </row>
    <row r="113" spans="1:1" ht="18" customHeight="1" x14ac:dyDescent="0.25">
      <c r="A113" s="404" t="str">
        <f>CONCATENATE('Character Sheet'!AC86)</f>
        <v>,,,,,,,</v>
      </c>
    </row>
    <row r="114" spans="1:1" ht="18" customHeight="1" x14ac:dyDescent="0.25">
      <c r="A114" s="404"/>
    </row>
    <row r="115" spans="1:1" ht="18" customHeight="1" x14ac:dyDescent="0.25">
      <c r="A115" s="404" t="s">
        <v>1104</v>
      </c>
    </row>
    <row r="116" spans="1:1" ht="18" customHeight="1" x14ac:dyDescent="0.25">
      <c r="A116" s="406" t="s">
        <v>2141</v>
      </c>
    </row>
    <row r="117" spans="1:1" ht="18" customHeight="1" x14ac:dyDescent="0.25">
      <c r="A117" s="404" t="str">
        <f>CONCATENATE('Character Sheet'!B42,": ",'Character Sheet'!D42)</f>
        <v>Status (): 0</v>
      </c>
    </row>
    <row r="118" spans="1:1" ht="18" customHeight="1" x14ac:dyDescent="0.25">
      <c r="A118" s="404" t="str">
        <f>CONCATENATE('Character Sheet'!B43,": ",'Character Sheet'!D43)</f>
        <v>Status (): 0</v>
      </c>
    </row>
    <row r="119" spans="1:1" ht="18" customHeight="1" x14ac:dyDescent="0.25">
      <c r="A119" s="404" t="str">
        <f>CONCATENATE('Character Sheet'!B44,": ",'Character Sheet'!D44)</f>
        <v>Status (Enter City): 0</v>
      </c>
    </row>
    <row r="120" spans="1:1" ht="18" customHeight="1" x14ac:dyDescent="0.25">
      <c r="A120" s="404" t="str">
        <f>CONCATENATE('Character Sheet'!B45,": ",'Character Sheet'!D45)</f>
        <v>Status (): 0</v>
      </c>
    </row>
    <row r="121" spans="1:1" ht="18" customHeight="1" x14ac:dyDescent="0.25">
      <c r="A121" s="404" t="str">
        <f>CONCATENATE('Character Sheet'!B46,"   ",IF('Character Sheet'!D46=0,"",'Character Sheet'!D46))</f>
        <v xml:space="preserve">   </v>
      </c>
    </row>
    <row r="122" spans="1:1" ht="18" customHeight="1" x14ac:dyDescent="0.25">
      <c r="A122" s="404" t="str">
        <f>CONCATENATE('Character Sheet'!B47,"   ",IF('Character Sheet'!D47=0,"",'Character Sheet'!D47))</f>
        <v xml:space="preserve">   </v>
      </c>
    </row>
    <row r="123" spans="1:1" ht="18" customHeight="1" x14ac:dyDescent="0.25">
      <c r="A123" s="404" t="str">
        <f>CONCATENATE('Character Sheet'!B48,"   ",IF('Character Sheet'!D48=0,"",'Character Sheet'!D48))</f>
        <v xml:space="preserve">   </v>
      </c>
    </row>
    <row r="124" spans="1:1" ht="18" customHeight="1" x14ac:dyDescent="0.25">
      <c r="A124" s="404" t="str">
        <f>CONCATENATE('Character Sheet'!B49,"   ",IF('Character Sheet'!D49=0,"",'Character Sheet'!D49))</f>
        <v xml:space="preserve">   </v>
      </c>
    </row>
    <row r="125" spans="1:1" ht="18" customHeight="1" x14ac:dyDescent="0.25">
      <c r="A125" s="404" t="str">
        <f>CONCATENATE('Character Sheet'!B50,"   ",IF('Character Sheet'!D50=0,"",'Character Sheet'!D50))</f>
        <v xml:space="preserve">   </v>
      </c>
    </row>
    <row r="126" spans="1:1" ht="18" customHeight="1" x14ac:dyDescent="0.25">
      <c r="A126" s="404" t="str">
        <f>CONCATENATE('Character Sheet'!B51,"   ",IF('Character Sheet'!D51=0,"",'Character Sheet'!D51))</f>
        <v xml:space="preserve">   </v>
      </c>
    </row>
    <row r="127" spans="1:1" ht="18" customHeight="1" x14ac:dyDescent="0.25">
      <c r="A127" s="404" t="str">
        <f>CONCATENATE('Character Sheet'!B52,"   ",IF('Character Sheet'!D52=0,"",'Character Sheet'!D52))</f>
        <v xml:space="preserve">   </v>
      </c>
    </row>
    <row r="128" spans="1:1" ht="18" customHeight="1" x14ac:dyDescent="0.25">
      <c r="A128" s="404" t="str">
        <f>CONCATENATE('Character Sheet'!B53,"   ",IF('Character Sheet'!D53=0,"",'Character Sheet'!D53))</f>
        <v xml:space="preserve">   </v>
      </c>
    </row>
    <row r="129" spans="1:1" ht="18" customHeight="1" x14ac:dyDescent="0.25">
      <c r="A129" s="404" t="str">
        <f>CONCATENATE('Character Sheet'!B54,"   ",IF('Character Sheet'!D54=0,"",'Character Sheet'!D54))</f>
        <v xml:space="preserve">   </v>
      </c>
    </row>
    <row r="130" spans="1:1" ht="18" customHeight="1" x14ac:dyDescent="0.25">
      <c r="A130" s="404" t="str">
        <f>CONCATENATE('Character Sheet'!B55,"   ",IF('Character Sheet'!D55=0,"",'Character Sheet'!D55))</f>
        <v xml:space="preserve">   </v>
      </c>
    </row>
    <row r="131" spans="1:1" ht="18" customHeight="1" x14ac:dyDescent="0.25">
      <c r="A131" s="404" t="str">
        <f>CONCATENATE('Character Sheet'!B56,"   ",IF('Character Sheet'!D56=0,"",'Character Sheet'!D56))</f>
        <v xml:space="preserve">   </v>
      </c>
    </row>
    <row r="132" spans="1:1" ht="18" customHeight="1" x14ac:dyDescent="0.25">
      <c r="A132" s="404" t="str">
        <f>CONCATENATE('Character Sheet'!B57,"   ",IF('Character Sheet'!D57=0,"",'Character Sheet'!D57))</f>
        <v xml:space="preserve">   </v>
      </c>
    </row>
    <row r="133" spans="1:1" ht="18" customHeight="1" x14ac:dyDescent="0.25">
      <c r="A133" s="404" t="str">
        <f>CONCATENATE('Character Sheet'!B58,"   ",IF('Character Sheet'!D58=0,"",'Character Sheet'!D58))</f>
        <v xml:space="preserve">   </v>
      </c>
    </row>
    <row r="134" spans="1:1" ht="18" customHeight="1" x14ac:dyDescent="0.25">
      <c r="A134" s="404" t="str">
        <f>CONCATENATE('Character Sheet'!B59,"   ",IF('Character Sheet'!D59=0,"",'Character Sheet'!D59))</f>
        <v xml:space="preserve">   </v>
      </c>
    </row>
    <row r="135" spans="1:1" ht="18" customHeight="1" x14ac:dyDescent="0.25">
      <c r="A135" s="404" t="str">
        <f>CONCATENATE('Character Sheet'!B60,"   ",IF('Character Sheet'!D60=0,"",'Character Sheet'!D60))</f>
        <v xml:space="preserve">   </v>
      </c>
    </row>
    <row r="136" spans="1:1" ht="18" customHeight="1" x14ac:dyDescent="0.25">
      <c r="A136" s="404" t="str">
        <f>CONCATENATE('Character Sheet'!B61,"   ",IF('Character Sheet'!D61=0,"",'Character Sheet'!D61))</f>
        <v xml:space="preserve">   </v>
      </c>
    </row>
    <row r="137" spans="1:1" ht="18" customHeight="1" x14ac:dyDescent="0.25">
      <c r="A137" s="404" t="str">
        <f>CONCATENATE('Character Sheet'!B62,"   ",IF('Character Sheet'!D62=0,"",'Character Sheet'!D62))</f>
        <v xml:space="preserve">   </v>
      </c>
    </row>
    <row r="138" spans="1:1" ht="18" customHeight="1" x14ac:dyDescent="0.25">
      <c r="A138" s="404" t="str">
        <f>CONCATENATE('Character Sheet'!B63,"   ",IF('Character Sheet'!D63=0,"",'Character Sheet'!D63))</f>
        <v xml:space="preserve">   </v>
      </c>
    </row>
    <row r="139" spans="1:1" ht="18" customHeight="1" x14ac:dyDescent="0.25">
      <c r="A139" s="404" t="str">
        <f>CONCATENATE('Character Sheet'!B64,"   ",IF('Character Sheet'!D64=0,"",'Character Sheet'!D64))</f>
        <v xml:space="preserve">   </v>
      </c>
    </row>
    <row r="140" spans="1:1" ht="18" customHeight="1" x14ac:dyDescent="0.25">
      <c r="A140" s="404" t="str">
        <f>CONCATENATE('Character Sheet'!B65,"   ",IF('Character Sheet'!D65=0,"",'Character Sheet'!D65))</f>
        <v xml:space="preserve">   </v>
      </c>
    </row>
    <row r="141" spans="1:1" x14ac:dyDescent="0.25">
      <c r="A141" s="404" t="str">
        <f>CONCATENATE('Character Sheet'!B66,"   ",IF('Character Sheet'!D66=0,"",'Character Sheet'!D66))</f>
        <v xml:space="preserve">   </v>
      </c>
    </row>
    <row r="142" spans="1:1" x14ac:dyDescent="0.25">
      <c r="A142" s="404" t="str">
        <f>CONCATENATE('Character Sheet'!B67,"   ",IF('Character Sheet'!D67=0,"",'Character Sheet'!D67))</f>
        <v xml:space="preserve">   </v>
      </c>
    </row>
    <row r="143" spans="1:1" x14ac:dyDescent="0.25">
      <c r="A143" s="404" t="str">
        <f>CONCATENATE('Character Sheet'!B68,"   ",IF('Character Sheet'!D68=0,"",'Character Sheet'!D68))</f>
        <v xml:space="preserve">   </v>
      </c>
    </row>
    <row r="144" spans="1:1" x14ac:dyDescent="0.25">
      <c r="A144" s="404" t="str">
        <f>CONCATENATE('Character Sheet'!B69,"   ",IF('Character Sheet'!D69=0,"",'Character Sheet'!D69))</f>
        <v xml:space="preserve">   </v>
      </c>
    </row>
    <row r="145" spans="1:1" x14ac:dyDescent="0.25">
      <c r="A145" s="404" t="str">
        <f>CONCATENATE('Character Sheet'!B70,"   ",IF('Character Sheet'!D70=0,"",'Character Sheet'!D70))</f>
        <v xml:space="preserve">   </v>
      </c>
    </row>
    <row r="146" spans="1:1" x14ac:dyDescent="0.25">
      <c r="A146" s="404" t="str">
        <f>CONCATENATE('Character Sheet'!B71,"   ",IF('Character Sheet'!D71=0,"",'Character Sheet'!D71))</f>
        <v xml:space="preserve">   </v>
      </c>
    </row>
    <row r="147" spans="1:1" x14ac:dyDescent="0.25">
      <c r="A147" s="404" t="str">
        <f>CONCATENATE('Character Sheet'!B72,"   ",IF('Character Sheet'!D72=0,"",'Character Sheet'!D72))</f>
        <v xml:space="preserve">   </v>
      </c>
    </row>
    <row r="148" spans="1:1" x14ac:dyDescent="0.25">
      <c r="A148" s="404" t="str">
        <f>CONCATENATE('Character Sheet'!B73,"   ",IF('Character Sheet'!D73=0,"",'Character Sheet'!D73))</f>
        <v xml:space="preserve">   </v>
      </c>
    </row>
    <row r="149" spans="1:1" x14ac:dyDescent="0.25">
      <c r="A149" s="404" t="str">
        <f>CONCATENATE('Character Sheet'!B74,"   ",IF('Character Sheet'!D74=0,"",'Character Sheet'!D74))</f>
        <v xml:space="preserve">   </v>
      </c>
    </row>
    <row r="150" spans="1:1" x14ac:dyDescent="0.25">
      <c r="A150" s="404" t="str">
        <f>CONCATENATE('Character Sheet'!B75,"   ",IF('Character Sheet'!D75=0,"",'Character Sheet'!D75))</f>
        <v xml:space="preserve">   </v>
      </c>
    </row>
    <row r="151" spans="1:1" x14ac:dyDescent="0.25">
      <c r="A151" s="404" t="str">
        <f>CONCATENATE('Character Sheet'!B76,"   ",IF('Character Sheet'!D76=0,"",'Character Sheet'!D76))</f>
        <v xml:space="preserve">   </v>
      </c>
    </row>
    <row r="152" spans="1:1" x14ac:dyDescent="0.25">
      <c r="A152" s="404" t="str">
        <f>CONCATENATE('Character Sheet'!B77,"   ",IF('Character Sheet'!D77=0,"",'Character Sheet'!D77))</f>
        <v xml:space="preserve">   </v>
      </c>
    </row>
    <row r="153" spans="1:1" x14ac:dyDescent="0.25">
      <c r="A153" s="404" t="str">
        <f>CONCATENATE('Character Sheet'!B78,"   ",IF('Character Sheet'!D78=0,"",'Character Sheet'!D78))</f>
        <v xml:space="preserve">   </v>
      </c>
    </row>
    <row r="154" spans="1:1" x14ac:dyDescent="0.25">
      <c r="A154" s="404" t="str">
        <f>CONCATENATE('Character Sheet'!B79,"   ",IF('Character Sheet'!D79=0,"",'Character Sheet'!D79))</f>
        <v xml:space="preserve">   </v>
      </c>
    </row>
    <row r="155" spans="1:1" x14ac:dyDescent="0.25">
      <c r="A155" s="404" t="str">
        <f>CONCATENATE('Character Sheet'!B80,"   ",IF('Character Sheet'!D80=0,"",'Character Sheet'!D80))</f>
        <v xml:space="preserve">   </v>
      </c>
    </row>
    <row r="156" spans="1:1" x14ac:dyDescent="0.25">
      <c r="A156" s="404" t="str">
        <f>CONCATENATE('Character Sheet'!B81,"   ",IF('Character Sheet'!D81=0,"",'Character Sheet'!D81))</f>
        <v xml:space="preserve">   </v>
      </c>
    </row>
    <row r="157" spans="1:1" x14ac:dyDescent="0.25">
      <c r="A157" s="404" t="str">
        <f>CONCATENATE('Character Sheet'!B82,"   ",IF('Character Sheet'!D82=0,"",'Character Sheet'!D82))</f>
        <v xml:space="preserve">   </v>
      </c>
    </row>
    <row r="158" spans="1:1" x14ac:dyDescent="0.25">
      <c r="A158" s="404" t="str">
        <f>CONCATENATE('Character Sheet'!B83,"   ",IF('Character Sheet'!D83=0,"",'Character Sheet'!D83))</f>
        <v xml:space="preserve">   </v>
      </c>
    </row>
    <row r="159" spans="1:1" x14ac:dyDescent="0.25">
      <c r="A159" s="404" t="str">
        <f>CONCATENATE('Character Sheet'!B84,"   ",IF('Character Sheet'!D84=0,"",'Character Sheet'!D84))</f>
        <v xml:space="preserve">   </v>
      </c>
    </row>
    <row r="160" spans="1:1" x14ac:dyDescent="0.25">
      <c r="A160" s="404" t="str">
        <f>CONCATENATE('Character Sheet'!B85,"   ",IF('Character Sheet'!D85=0,"",'Character Sheet'!D85))</f>
        <v xml:space="preserve">   </v>
      </c>
    </row>
    <row r="161" spans="1:1" x14ac:dyDescent="0.25">
      <c r="A161" s="404" t="str">
        <f>CONCATENATE('Character Sheet'!B86,"   ",IF('Character Sheet'!D86=0,"",'Character Sheet'!D86))</f>
        <v xml:space="preserve">   </v>
      </c>
    </row>
    <row r="162" spans="1:1" x14ac:dyDescent="0.25">
      <c r="A162" s="404" t="str">
        <f>CONCATENATE('Character Sheet'!B87,"   ",IF('Character Sheet'!D87=0,"",'Character Sheet'!D87))</f>
        <v xml:space="preserve">   </v>
      </c>
    </row>
    <row r="163" spans="1:1" x14ac:dyDescent="0.25">
      <c r="A163" s="404" t="str">
        <f>CONCATENATE('Character Sheet'!B88,"   ",IF('Character Sheet'!D88=0,"",'Character Sheet'!D88))</f>
        <v xml:space="preserve">   </v>
      </c>
    </row>
    <row r="164" spans="1:1" x14ac:dyDescent="0.25">
      <c r="A164" s="404" t="str">
        <f>CONCATENATE('Character Sheet'!B89,"   ",IF('Character Sheet'!D89=0,"",'Character Sheet'!D89))</f>
        <v xml:space="preserve">   </v>
      </c>
    </row>
    <row r="165" spans="1:1" x14ac:dyDescent="0.25">
      <c r="A165" s="404" t="str">
        <f>CONCATENATE('Character Sheet'!B90,"   ",IF('Character Sheet'!D90=0,"",'Character Sheet'!D90))</f>
        <v xml:space="preserve">   </v>
      </c>
    </row>
    <row r="166" spans="1:1" x14ac:dyDescent="0.25">
      <c r="A166" s="404" t="s">
        <v>2149</v>
      </c>
    </row>
    <row r="167" spans="1:1" x14ac:dyDescent="0.25">
      <c r="A167" s="490"/>
    </row>
    <row r="168" spans="1:1" x14ac:dyDescent="0.25">
      <c r="A168" s="404" t="s">
        <v>1106</v>
      </c>
    </row>
    <row r="169" spans="1:1" x14ac:dyDescent="0.25">
      <c r="A169" s="406" t="s">
        <v>2141</v>
      </c>
    </row>
    <row r="170" spans="1:1" x14ac:dyDescent="0.25">
      <c r="A170" s="404" t="str">
        <f>CONCATENATE('Character Sheet'!CC119)</f>
        <v/>
      </c>
    </row>
    <row r="171" spans="1:1" x14ac:dyDescent="0.25">
      <c r="A171" s="404" t="str">
        <f>CONCATENATE('Character Sheet'!CC120)</f>
        <v/>
      </c>
    </row>
    <row r="172" spans="1:1" x14ac:dyDescent="0.25">
      <c r="A172" s="404" t="str">
        <f>CONCATENATE('Character Sheet'!CC121)</f>
        <v/>
      </c>
    </row>
    <row r="173" spans="1:1" x14ac:dyDescent="0.25">
      <c r="A173" s="404" t="str">
        <f>CONCATENATE('Character Sheet'!CC122)</f>
        <v/>
      </c>
    </row>
    <row r="174" spans="1:1" x14ac:dyDescent="0.25">
      <c r="A174" s="404" t="str">
        <f>CONCATENATE('Character Sheet'!CC123)</f>
        <v/>
      </c>
    </row>
    <row r="175" spans="1:1" x14ac:dyDescent="0.25">
      <c r="A175" s="404" t="str">
        <f>CONCATENATE('Character Sheet'!CC124)</f>
        <v/>
      </c>
    </row>
    <row r="176" spans="1:1" x14ac:dyDescent="0.25">
      <c r="A176" s="404" t="str">
        <f>CONCATENATE('Character Sheet'!CC125)</f>
        <v/>
      </c>
    </row>
    <row r="177" spans="1:1" x14ac:dyDescent="0.25">
      <c r="A177" s="404" t="str">
        <f>CONCATENATE('Character Sheet'!CC126)</f>
        <v/>
      </c>
    </row>
    <row r="178" spans="1:1" x14ac:dyDescent="0.25">
      <c r="A178" s="404" t="str">
        <f>CONCATENATE('Character Sheet'!CC127)</f>
        <v/>
      </c>
    </row>
    <row r="179" spans="1:1" x14ac:dyDescent="0.25">
      <c r="A179" s="404" t="str">
        <f>CONCATENATE('Character Sheet'!CC128)</f>
        <v/>
      </c>
    </row>
    <row r="180" spans="1:1" x14ac:dyDescent="0.25">
      <c r="A180" s="404" t="str">
        <f>CONCATENATE('Character Sheet'!CC129)</f>
        <v/>
      </c>
    </row>
    <row r="181" spans="1:1" x14ac:dyDescent="0.25">
      <c r="A181" s="404" t="str">
        <f>CONCATENATE('Character Sheet'!CC130)</f>
        <v/>
      </c>
    </row>
    <row r="182" spans="1:1" x14ac:dyDescent="0.25">
      <c r="A182" s="404" t="str">
        <f>CONCATENATE('Character Sheet'!CC131)</f>
        <v/>
      </c>
    </row>
    <row r="183" spans="1:1" x14ac:dyDescent="0.25">
      <c r="A183" s="404" t="str">
        <f>CONCATENATE('Character Sheet'!CC132)</f>
        <v/>
      </c>
    </row>
    <row r="184" spans="1:1" x14ac:dyDescent="0.25">
      <c r="A184" s="404" t="str">
        <f>CONCATENATE('Character Sheet'!CC133)</f>
        <v/>
      </c>
    </row>
    <row r="185" spans="1:1" x14ac:dyDescent="0.25">
      <c r="A185" s="404" t="str">
        <f>CONCATENATE('Character Sheet'!CC134)</f>
        <v/>
      </c>
    </row>
    <row r="186" spans="1:1" x14ac:dyDescent="0.25">
      <c r="A186" s="404" t="str">
        <f>CONCATENATE('Character Sheet'!CC135)</f>
        <v/>
      </c>
    </row>
    <row r="187" spans="1:1" x14ac:dyDescent="0.25">
      <c r="A187" s="404" t="str">
        <f>CONCATENATE('Character Sheet'!CC136)</f>
        <v/>
      </c>
    </row>
    <row r="188" spans="1:1" x14ac:dyDescent="0.25">
      <c r="A188" s="404" t="str">
        <f>CONCATENATE('Character Sheet'!CC137)</f>
        <v/>
      </c>
    </row>
    <row r="189" spans="1:1" x14ac:dyDescent="0.25">
      <c r="A189" s="404" t="str">
        <f>CONCATENATE('Character Sheet'!CC138)</f>
        <v/>
      </c>
    </row>
    <row r="190" spans="1:1" x14ac:dyDescent="0.25">
      <c r="A190" s="404" t="str">
        <f>CONCATENATE('Character Sheet'!CC139)</f>
        <v/>
      </c>
    </row>
    <row r="191" spans="1:1" x14ac:dyDescent="0.25">
      <c r="A191" s="404" t="str">
        <f>CONCATENATE('Character Sheet'!CC140)</f>
        <v/>
      </c>
    </row>
    <row r="192" spans="1:1" x14ac:dyDescent="0.25">
      <c r="A192" s="404" t="str">
        <f>CONCATENATE('Character Sheet'!CC141)</f>
        <v/>
      </c>
    </row>
    <row r="193" spans="1:1" x14ac:dyDescent="0.25">
      <c r="A193" s="404" t="str">
        <f>CONCATENATE('Character Sheet'!CC142)</f>
        <v/>
      </c>
    </row>
    <row r="194" spans="1:1" x14ac:dyDescent="0.25">
      <c r="A194" s="404" t="str">
        <f>CONCATENATE('Character Sheet'!CC143)</f>
        <v/>
      </c>
    </row>
    <row r="195" spans="1:1" x14ac:dyDescent="0.25">
      <c r="A195" s="404" t="str">
        <f>CONCATENATE('Character Sheet'!CC144)</f>
        <v/>
      </c>
    </row>
    <row r="196" spans="1:1" x14ac:dyDescent="0.25">
      <c r="A196" s="404" t="str">
        <f>CONCATENATE('Character Sheet'!CC145)</f>
        <v/>
      </c>
    </row>
    <row r="197" spans="1:1" x14ac:dyDescent="0.25">
      <c r="A197" s="404" t="str">
        <f>CONCATENATE('Character Sheet'!CC146)</f>
        <v/>
      </c>
    </row>
    <row r="198" spans="1:1" x14ac:dyDescent="0.25">
      <c r="A198" s="404" t="str">
        <f>CONCATENATE('Character Sheet'!CC147)</f>
        <v/>
      </c>
    </row>
    <row r="199" spans="1:1" x14ac:dyDescent="0.25">
      <c r="A199" s="404" t="str">
        <f>CONCATENATE('Character Sheet'!CC148)</f>
        <v/>
      </c>
    </row>
    <row r="200" spans="1:1" x14ac:dyDescent="0.25">
      <c r="A200" s="404" t="str">
        <f>CONCATENATE('Character Sheet'!CC149)</f>
        <v/>
      </c>
    </row>
    <row r="201" spans="1:1" x14ac:dyDescent="0.25">
      <c r="A201" s="404" t="str">
        <f>CONCATENATE('Character Sheet'!CC150)</f>
        <v/>
      </c>
    </row>
    <row r="202" spans="1:1" x14ac:dyDescent="0.25">
      <c r="A202" s="404" t="str">
        <f>CONCATENATE('Character Sheet'!CC151)</f>
        <v/>
      </c>
    </row>
    <row r="203" spans="1:1" x14ac:dyDescent="0.25">
      <c r="A203" s="404" t="str">
        <f>CONCATENATE('Character Sheet'!CC152)</f>
        <v/>
      </c>
    </row>
    <row r="204" spans="1:1" x14ac:dyDescent="0.25">
      <c r="A204" s="404" t="str">
        <f>CONCATENATE('Character Sheet'!CC153)</f>
        <v/>
      </c>
    </row>
    <row r="205" spans="1:1" x14ac:dyDescent="0.25">
      <c r="A205" s="404" t="str">
        <f>CONCATENATE('Character Sheet'!CC154)</f>
        <v/>
      </c>
    </row>
    <row r="206" spans="1:1" x14ac:dyDescent="0.25">
      <c r="A206" s="404" t="str">
        <f>CONCATENATE('Character Sheet'!CC155)</f>
        <v/>
      </c>
    </row>
    <row r="207" spans="1:1" x14ac:dyDescent="0.25">
      <c r="A207" s="404" t="str">
        <f>CONCATENATE('Character Sheet'!CC156)</f>
        <v/>
      </c>
    </row>
    <row r="208" spans="1:1" x14ac:dyDescent="0.25">
      <c r="A208" s="404" t="str">
        <f>CONCATENATE('Character Sheet'!CC157)</f>
        <v/>
      </c>
    </row>
    <row r="209" spans="1:1" x14ac:dyDescent="0.25">
      <c r="A209" s="404" t="str">
        <f>CONCATENATE('Character Sheet'!CC158)</f>
        <v/>
      </c>
    </row>
    <row r="210" spans="1:1" x14ac:dyDescent="0.25">
      <c r="A210" s="404" t="str">
        <f>CONCATENATE('Character Sheet'!CC159)</f>
        <v/>
      </c>
    </row>
    <row r="211" spans="1:1" x14ac:dyDescent="0.25">
      <c r="A211" s="404" t="str">
        <f>CONCATENATE('Character Sheet'!CC160)</f>
        <v/>
      </c>
    </row>
    <row r="212" spans="1:1" x14ac:dyDescent="0.25">
      <c r="A212" s="404" t="str">
        <f>CONCATENATE('Character Sheet'!CC161)</f>
        <v/>
      </c>
    </row>
    <row r="213" spans="1:1" x14ac:dyDescent="0.25">
      <c r="A213" s="404" t="str">
        <f>CONCATENATE('Character Sheet'!CC162)</f>
        <v/>
      </c>
    </row>
    <row r="214" spans="1:1" x14ac:dyDescent="0.25">
      <c r="A214" s="404" t="str">
        <f>CONCATENATE('Character Sheet'!CC163)</f>
        <v/>
      </c>
    </row>
    <row r="215" spans="1:1" x14ac:dyDescent="0.25">
      <c r="A215" s="404" t="str">
        <f>CONCATENATE('Character Sheet'!CC164)</f>
        <v/>
      </c>
    </row>
    <row r="216" spans="1:1" x14ac:dyDescent="0.25">
      <c r="A216" s="404" t="s">
        <v>2150</v>
      </c>
    </row>
    <row r="217" spans="1:1" x14ac:dyDescent="0.25">
      <c r="A217" s="404"/>
    </row>
    <row r="218" spans="1:1" x14ac:dyDescent="0.25">
      <c r="A218" s="407" t="s">
        <v>1362</v>
      </c>
    </row>
    <row r="219" spans="1:1" x14ac:dyDescent="0.25">
      <c r="A219" s="406" t="s">
        <v>2141</v>
      </c>
    </row>
    <row r="220" spans="1:1" x14ac:dyDescent="0.25">
      <c r="A220" s="404" t="str">
        <f>CONCATENATE('Character Sheet'!CM83)</f>
        <v/>
      </c>
    </row>
    <row r="221" spans="1:1" x14ac:dyDescent="0.25">
      <c r="A221" s="404" t="str">
        <f>CONCATENATE('Character Sheet'!CM84)</f>
        <v/>
      </c>
    </row>
    <row r="222" spans="1:1" x14ac:dyDescent="0.25">
      <c r="A222" s="404" t="str">
        <f>CONCATENATE('Character Sheet'!CM85)</f>
        <v/>
      </c>
    </row>
    <row r="223" spans="1:1" x14ac:dyDescent="0.25">
      <c r="A223" s="404" t="str">
        <f>CONCATENATE('Character Sheet'!CM86)</f>
        <v/>
      </c>
    </row>
    <row r="224" spans="1:1" x14ac:dyDescent="0.25">
      <c r="A224" s="404" t="str">
        <f>CONCATENATE('Character Sheet'!CM87)</f>
        <v/>
      </c>
    </row>
    <row r="225" spans="1:1" x14ac:dyDescent="0.25">
      <c r="A225" s="404" t="str">
        <f>CONCATENATE('Character Sheet'!CM88)</f>
        <v/>
      </c>
    </row>
    <row r="226" spans="1:1" x14ac:dyDescent="0.25">
      <c r="A226" s="404" t="str">
        <f>CONCATENATE('Character Sheet'!CM89)</f>
        <v/>
      </c>
    </row>
    <row r="227" spans="1:1" x14ac:dyDescent="0.25">
      <c r="A227" s="404" t="str">
        <f>CONCATENATE('Character Sheet'!CM90)</f>
        <v/>
      </c>
    </row>
    <row r="228" spans="1:1" x14ac:dyDescent="0.25">
      <c r="A228" s="404" t="str">
        <f>CONCATENATE('Character Sheet'!CM91)</f>
        <v/>
      </c>
    </row>
    <row r="229" spans="1:1" x14ac:dyDescent="0.25">
      <c r="A229" s="404" t="str">
        <f>CONCATENATE('Character Sheet'!CM92)</f>
        <v/>
      </c>
    </row>
    <row r="230" spans="1:1" x14ac:dyDescent="0.25">
      <c r="A230" s="404" t="str">
        <f>CONCATENATE('Character Sheet'!CM93)</f>
        <v/>
      </c>
    </row>
    <row r="231" spans="1:1" x14ac:dyDescent="0.25">
      <c r="A231" s="404" t="str">
        <f>CONCATENATE('Character Sheet'!CM94)</f>
        <v/>
      </c>
    </row>
    <row r="232" spans="1:1" x14ac:dyDescent="0.25">
      <c r="A232" s="404" t="str">
        <f>CONCATENATE('Character Sheet'!CM95)</f>
        <v/>
      </c>
    </row>
    <row r="233" spans="1:1" x14ac:dyDescent="0.25">
      <c r="A233" s="404" t="str">
        <f>CONCATENATE('Character Sheet'!CM96)</f>
        <v/>
      </c>
    </row>
    <row r="234" spans="1:1" x14ac:dyDescent="0.25">
      <c r="A234" s="404" t="str">
        <f>CONCATENATE('Character Sheet'!CM97)</f>
        <v/>
      </c>
    </row>
    <row r="235" spans="1:1" x14ac:dyDescent="0.25">
      <c r="A235" s="404" t="str">
        <f>CONCATENATE('Character Sheet'!CM98)</f>
        <v/>
      </c>
    </row>
    <row r="236" spans="1:1" x14ac:dyDescent="0.25">
      <c r="A236" s="404" t="str">
        <f>CONCATENATE('Character Sheet'!CM99)</f>
        <v/>
      </c>
    </row>
    <row r="237" spans="1:1" x14ac:dyDescent="0.25">
      <c r="A237" s="404" t="str">
        <f>CONCATENATE('Character Sheet'!CM100)</f>
        <v/>
      </c>
    </row>
    <row r="238" spans="1:1" x14ac:dyDescent="0.25">
      <c r="A238" s="404" t="str">
        <f>CONCATENATE('Character Sheet'!CM101)</f>
        <v/>
      </c>
    </row>
    <row r="239" spans="1:1" x14ac:dyDescent="0.25">
      <c r="A239" s="404" t="str">
        <f>CONCATENATE('Character Sheet'!CM102)</f>
        <v/>
      </c>
    </row>
    <row r="240" spans="1:1" x14ac:dyDescent="0.25">
      <c r="A240" s="404" t="str">
        <f>CONCATENATE('Character Sheet'!CM103)</f>
        <v/>
      </c>
    </row>
    <row r="241" spans="1:1" x14ac:dyDescent="0.25">
      <c r="A241" s="404" t="str">
        <f>CONCATENATE('Character Sheet'!CM104)</f>
        <v/>
      </c>
    </row>
    <row r="242" spans="1:1" x14ac:dyDescent="0.25">
      <c r="A242" s="404" t="str">
        <f>CONCATENATE('Character Sheet'!CM105)</f>
        <v/>
      </c>
    </row>
    <row r="243" spans="1:1" x14ac:dyDescent="0.25">
      <c r="A243" s="407" t="s">
        <v>2151</v>
      </c>
    </row>
    <row r="244" spans="1:1" x14ac:dyDescent="0.25">
      <c r="A244" s="404"/>
    </row>
    <row r="245" spans="1:1" x14ac:dyDescent="0.25">
      <c r="A245" s="407" t="s">
        <v>1107</v>
      </c>
    </row>
    <row r="246" spans="1:1" x14ac:dyDescent="0.25">
      <c r="A246" s="406" t="s">
        <v>2141</v>
      </c>
    </row>
    <row r="247" spans="1:1" x14ac:dyDescent="0.25">
      <c r="A247" s="404" t="str">
        <f>CONCATENATE('Character Sheet'!B131)</f>
        <v/>
      </c>
    </row>
    <row r="248" spans="1:1" x14ac:dyDescent="0.25">
      <c r="A248" s="404" t="str">
        <f>CONCATENATE('Character Sheet'!B132)</f>
        <v/>
      </c>
    </row>
    <row r="249" spans="1:1" x14ac:dyDescent="0.25">
      <c r="A249" s="404" t="str">
        <f>CONCATENATE('Character Sheet'!B133)</f>
        <v/>
      </c>
    </row>
    <row r="250" spans="1:1" x14ac:dyDescent="0.25">
      <c r="A250" s="404" t="str">
        <f>CONCATENATE('Character Sheet'!B134)</f>
        <v/>
      </c>
    </row>
    <row r="251" spans="1:1" x14ac:dyDescent="0.25">
      <c r="A251" s="404" t="str">
        <f>CONCATENATE('Character Sheet'!B135)</f>
        <v/>
      </c>
    </row>
    <row r="252" spans="1:1" x14ac:dyDescent="0.25">
      <c r="A252" s="404" t="str">
        <f>CONCATENATE('Character Sheet'!B136)</f>
        <v/>
      </c>
    </row>
    <row r="253" spans="1:1" x14ac:dyDescent="0.25">
      <c r="A253" s="404" t="str">
        <f>CONCATENATE('Character Sheet'!B137)</f>
        <v/>
      </c>
    </row>
    <row r="254" spans="1:1" x14ac:dyDescent="0.25">
      <c r="A254" s="404" t="str">
        <f>CONCATENATE('Character Sheet'!B138)</f>
        <v/>
      </c>
    </row>
    <row r="255" spans="1:1" x14ac:dyDescent="0.25">
      <c r="A255" s="404" t="str">
        <f>CONCATENATE('Character Sheet'!B139)</f>
        <v/>
      </c>
    </row>
    <row r="256" spans="1:1" x14ac:dyDescent="0.25">
      <c r="A256" s="404" t="str">
        <f>CONCATENATE('Character Sheet'!B140)</f>
        <v/>
      </c>
    </row>
    <row r="257" spans="1:1" x14ac:dyDescent="0.25">
      <c r="A257" s="404" t="str">
        <f>CONCATENATE('Character Sheet'!B141)</f>
        <v/>
      </c>
    </row>
    <row r="258" spans="1:1" x14ac:dyDescent="0.25">
      <c r="A258" s="404" t="str">
        <f>CONCATENATE('Character Sheet'!B142)</f>
        <v/>
      </c>
    </row>
    <row r="259" spans="1:1" x14ac:dyDescent="0.25">
      <c r="A259" s="404" t="str">
        <f>CONCATENATE('Character Sheet'!B143)</f>
        <v/>
      </c>
    </row>
    <row r="260" spans="1:1" x14ac:dyDescent="0.25">
      <c r="A260" s="404" t="str">
        <f>CONCATENATE('Character Sheet'!B144)</f>
        <v/>
      </c>
    </row>
    <row r="261" spans="1:1" x14ac:dyDescent="0.25">
      <c r="A261" s="404" t="str">
        <f>CONCATENATE('Character Sheet'!B145)</f>
        <v/>
      </c>
    </row>
    <row r="262" spans="1:1" x14ac:dyDescent="0.25">
      <c r="A262" s="404" t="str">
        <f>CONCATENATE('Character Sheet'!B146)</f>
        <v/>
      </c>
    </row>
    <row r="263" spans="1:1" x14ac:dyDescent="0.25">
      <c r="A263" s="404" t="str">
        <f>CONCATENATE('Character Sheet'!B147)</f>
        <v/>
      </c>
    </row>
    <row r="264" spans="1:1" x14ac:dyDescent="0.25">
      <c r="A264" s="404" t="str">
        <f>CONCATENATE('Character Sheet'!B148)</f>
        <v/>
      </c>
    </row>
    <row r="265" spans="1:1" x14ac:dyDescent="0.25">
      <c r="A265" s="404" t="str">
        <f>CONCATENATE('Character Sheet'!B149)</f>
        <v/>
      </c>
    </row>
    <row r="266" spans="1:1" x14ac:dyDescent="0.25">
      <c r="A266" s="404" t="str">
        <f>CONCATENATE('Character Sheet'!B150)</f>
        <v/>
      </c>
    </row>
    <row r="267" spans="1:1" x14ac:dyDescent="0.25">
      <c r="A267" s="404" t="str">
        <f>CONCATENATE('Character Sheet'!B151)</f>
        <v/>
      </c>
    </row>
    <row r="268" spans="1:1" x14ac:dyDescent="0.25">
      <c r="A268" s="404" t="str">
        <f>CONCATENATE('Character Sheet'!B152)</f>
        <v/>
      </c>
    </row>
    <row r="269" spans="1:1" x14ac:dyDescent="0.25">
      <c r="A269" s="404" t="str">
        <f>CONCATENATE('Character Sheet'!B153)</f>
        <v/>
      </c>
    </row>
    <row r="270" spans="1:1" x14ac:dyDescent="0.25">
      <c r="A270" s="404" t="str">
        <f>CONCATENATE('Character Sheet'!B154)</f>
        <v/>
      </c>
    </row>
    <row r="271" spans="1:1" x14ac:dyDescent="0.25">
      <c r="A271" s="404" t="str">
        <f>CONCATENATE('Character Sheet'!B155)</f>
        <v/>
      </c>
    </row>
    <row r="272" spans="1:1" x14ac:dyDescent="0.25">
      <c r="A272" s="404" t="str">
        <f>CONCATENATE('Character Sheet'!B156)</f>
        <v/>
      </c>
    </row>
    <row r="273" spans="1:1" x14ac:dyDescent="0.25">
      <c r="A273" s="404" t="str">
        <f>CONCATENATE('Character Sheet'!B157)</f>
        <v/>
      </c>
    </row>
    <row r="274" spans="1:1" x14ac:dyDescent="0.25">
      <c r="A274" s="404" t="str">
        <f>CONCATENATE('Character Sheet'!B158)</f>
        <v/>
      </c>
    </row>
    <row r="275" spans="1:1" x14ac:dyDescent="0.25">
      <c r="A275" s="404" t="str">
        <f>CONCATENATE('Character Sheet'!B159)</f>
        <v/>
      </c>
    </row>
    <row r="276" spans="1:1" x14ac:dyDescent="0.25">
      <c r="A276" s="404" t="str">
        <f>CONCATENATE('Character Sheet'!B160)</f>
        <v/>
      </c>
    </row>
    <row r="277" spans="1:1" x14ac:dyDescent="0.25">
      <c r="A277" s="404" t="str">
        <f>CONCATENATE('Character Sheet'!B161)</f>
        <v/>
      </c>
    </row>
    <row r="278" spans="1:1" x14ac:dyDescent="0.25">
      <c r="A278" s="404" t="str">
        <f>CONCATENATE('Character Sheet'!B162)</f>
        <v/>
      </c>
    </row>
    <row r="279" spans="1:1" x14ac:dyDescent="0.25">
      <c r="A279" s="404" t="str">
        <f>CONCATENATE('Character Sheet'!B163)</f>
        <v/>
      </c>
    </row>
    <row r="280" spans="1:1" x14ac:dyDescent="0.25">
      <c r="A280" s="404" t="str">
        <f>CONCATENATE('Character Sheet'!B164)</f>
        <v/>
      </c>
    </row>
    <row r="281" spans="1:1" x14ac:dyDescent="0.25">
      <c r="A281" s="404" t="str">
        <f>CONCATENATE('Character Sheet'!B165)</f>
        <v/>
      </c>
    </row>
    <row r="282" spans="1:1" x14ac:dyDescent="0.25">
      <c r="A282" s="404" t="str">
        <f>CONCATENATE('Character Sheet'!B166)</f>
        <v/>
      </c>
    </row>
    <row r="283" spans="1:1" x14ac:dyDescent="0.25">
      <c r="A283" s="404" t="str">
        <f>CONCATENATE('Character Sheet'!B167)</f>
        <v/>
      </c>
    </row>
    <row r="284" spans="1:1" x14ac:dyDescent="0.25">
      <c r="A284" s="404" t="str">
        <f>CONCATENATE('Character Sheet'!B168)</f>
        <v/>
      </c>
    </row>
    <row r="285" spans="1:1" x14ac:dyDescent="0.25">
      <c r="A285" s="404" t="str">
        <f>CONCATENATE('Character Sheet'!B169)</f>
        <v/>
      </c>
    </row>
    <row r="286" spans="1:1" x14ac:dyDescent="0.25">
      <c r="A286" s="404" t="str">
        <f>CONCATENATE('Character Sheet'!B170)</f>
        <v/>
      </c>
    </row>
    <row r="287" spans="1:1" x14ac:dyDescent="0.25">
      <c r="A287" s="404" t="str">
        <f>CONCATENATE('Character Sheet'!B171)</f>
        <v/>
      </c>
    </row>
    <row r="288" spans="1:1" x14ac:dyDescent="0.25">
      <c r="A288" s="404" t="str">
        <f>CONCATENATE('Character Sheet'!B172)</f>
        <v/>
      </c>
    </row>
    <row r="289" spans="1:1" x14ac:dyDescent="0.25">
      <c r="A289" s="404" t="str">
        <f>CONCATENATE('Character Sheet'!B173)</f>
        <v/>
      </c>
    </row>
    <row r="290" spans="1:1" x14ac:dyDescent="0.25">
      <c r="A290" s="404" t="str">
        <f>CONCATENATE('Character Sheet'!B174)</f>
        <v/>
      </c>
    </row>
    <row r="291" spans="1:1" x14ac:dyDescent="0.25">
      <c r="A291" s="404" t="str">
        <f>CONCATENATE('Character Sheet'!B175)</f>
        <v/>
      </c>
    </row>
    <row r="292" spans="1:1" x14ac:dyDescent="0.25">
      <c r="A292" s="404" t="str">
        <f>CONCATENATE('Character Sheet'!B176)</f>
        <v/>
      </c>
    </row>
    <row r="293" spans="1:1" x14ac:dyDescent="0.25">
      <c r="A293" s="404" t="s">
        <v>2152</v>
      </c>
    </row>
    <row r="294" spans="1:1" x14ac:dyDescent="0.25">
      <c r="A294" s="404"/>
    </row>
    <row r="295" spans="1:1" x14ac:dyDescent="0.25">
      <c r="A295" s="404" t="s">
        <v>1859</v>
      </c>
    </row>
    <row r="296" spans="1:1" x14ac:dyDescent="0.25">
      <c r="A296" s="406" t="s">
        <v>2141</v>
      </c>
    </row>
    <row r="297" spans="1:1" x14ac:dyDescent="0.25">
      <c r="A297" s="404" t="str">
        <f>CONCATENATE('Character Sheet'!L139)</f>
        <v/>
      </c>
    </row>
    <row r="298" spans="1:1" x14ac:dyDescent="0.25">
      <c r="A298" s="404" t="str">
        <f>CONCATENATE('Character Sheet'!L140)</f>
        <v/>
      </c>
    </row>
    <row r="299" spans="1:1" x14ac:dyDescent="0.25">
      <c r="A299" s="404" t="str">
        <f>CONCATENATE('Character Sheet'!L141)</f>
        <v/>
      </c>
    </row>
    <row r="300" spans="1:1" x14ac:dyDescent="0.25">
      <c r="A300" s="404" t="str">
        <f>CONCATENATE('Character Sheet'!L142)</f>
        <v/>
      </c>
    </row>
    <row r="301" spans="1:1" x14ac:dyDescent="0.25">
      <c r="A301" s="404" t="str">
        <f>CONCATENATE('Character Sheet'!L143)</f>
        <v/>
      </c>
    </row>
    <row r="302" spans="1:1" x14ac:dyDescent="0.25">
      <c r="A302" s="404" t="str">
        <f>CONCATENATE('Character Sheet'!L144)</f>
        <v/>
      </c>
    </row>
    <row r="303" spans="1:1" x14ac:dyDescent="0.25">
      <c r="A303" s="404" t="str">
        <f>CONCATENATE('Character Sheet'!R139)</f>
        <v/>
      </c>
    </row>
    <row r="304" spans="1:1" x14ac:dyDescent="0.25">
      <c r="A304" s="404" t="str">
        <f>CONCATENATE('Character Sheet'!R140)</f>
        <v/>
      </c>
    </row>
    <row r="305" spans="1:1" x14ac:dyDescent="0.25">
      <c r="A305" s="404" t="str">
        <f>CONCATENATE('Character Sheet'!R141)</f>
        <v/>
      </c>
    </row>
    <row r="306" spans="1:1" x14ac:dyDescent="0.25">
      <c r="A306" s="404" t="str">
        <f>CONCATENATE('Character Sheet'!R142)</f>
        <v/>
      </c>
    </row>
    <row r="307" spans="1:1" x14ac:dyDescent="0.25">
      <c r="A307" s="404" t="str">
        <f>CONCATENATE('Character Sheet'!R143)</f>
        <v/>
      </c>
    </row>
    <row r="308" spans="1:1" x14ac:dyDescent="0.25">
      <c r="A308" s="404" t="str">
        <f>CONCATENATE('Character Sheet'!R144)</f>
        <v/>
      </c>
    </row>
    <row r="309" spans="1:1" x14ac:dyDescent="0.25">
      <c r="A309" s="404"/>
    </row>
    <row r="310" spans="1:1" x14ac:dyDescent="0.25">
      <c r="A310" s="404" t="s">
        <v>2153</v>
      </c>
    </row>
    <row r="311" spans="1:1" x14ac:dyDescent="0.25">
      <c r="A311" s="406" t="s">
        <v>2141</v>
      </c>
    </row>
    <row r="312" spans="1:1" x14ac:dyDescent="0.25">
      <c r="A312" s="365" t="str">
        <f>CONCATENATE('Character Sheet'!L147," ","sworn"," ",'Character Sheet'!P147," ",'Character Sheet'!R147," ",'Character Sheet'!W147," ","Successes")</f>
        <v xml:space="preserve"> sworn    Successes</v>
      </c>
    </row>
    <row r="313" spans="1:1" x14ac:dyDescent="0.25">
      <c r="A313" s="365" t="str">
        <f>CONCATENATE('Character Sheet'!L148," ","sworn"," ",'Character Sheet'!P148," ",'Character Sheet'!R148," ",'Character Sheet'!W148," ","Successes")</f>
        <v xml:space="preserve"> sworn    Successes</v>
      </c>
    </row>
    <row r="314" spans="1:1" x14ac:dyDescent="0.25">
      <c r="A314" s="365" t="str">
        <f>CONCATENATE('Character Sheet'!L149," ","sworn"," ",'Character Sheet'!P149," ",'Character Sheet'!R149," ",'Character Sheet'!W149," ","Successes")</f>
        <v xml:space="preserve"> sworn    Successes</v>
      </c>
    </row>
    <row r="315" spans="1:1" x14ac:dyDescent="0.25">
      <c r="A315" s="365" t="str">
        <f>CONCATENATE('Character Sheet'!L150," ","sworn"," ",'Character Sheet'!P150," ",'Character Sheet'!R150," ",'Character Sheet'!W150," ","Successes")</f>
        <v xml:space="preserve"> sworn    Successes</v>
      </c>
    </row>
    <row r="316" spans="1:1" x14ac:dyDescent="0.25">
      <c r="A316" s="365" t="str">
        <f>CONCATENATE('Character Sheet'!L151," ","sworn"," ",'Character Sheet'!P151," ",'Character Sheet'!R151," ",'Character Sheet'!W151," ","Successes")</f>
        <v xml:space="preserve"> sworn    Successes</v>
      </c>
    </row>
    <row r="317" spans="1:1" x14ac:dyDescent="0.25">
      <c r="A317" s="365" t="str">
        <f>CONCATENATE('Character Sheet'!L152," ","sworn"," ",'Character Sheet'!P152," ",'Character Sheet'!R152," ",'Character Sheet'!W152," ","Successes")</f>
        <v xml:space="preserve"> sworn    Successes</v>
      </c>
    </row>
    <row r="318" spans="1:1" x14ac:dyDescent="0.25">
      <c r="A318" s="365" t="str">
        <f>CONCATENATE('Character Sheet'!L153," ","sworn"," ",'Character Sheet'!P153," ",'Character Sheet'!R153," ",'Character Sheet'!W153," ","Successes")</f>
        <v xml:space="preserve"> sworn    Successes</v>
      </c>
    </row>
    <row r="319" spans="1:1" x14ac:dyDescent="0.25">
      <c r="A319" s="365" t="str">
        <f>CONCATENATE('Character Sheet'!L154," ","sworn"," ",'Character Sheet'!P154," ",'Character Sheet'!R154," ",'Character Sheet'!W154," ","Successes")</f>
        <v xml:space="preserve"> sworn    Successes</v>
      </c>
    </row>
    <row r="320" spans="1:1" x14ac:dyDescent="0.25">
      <c r="A320" s="365" t="str">
        <f>CONCATENATE('Character Sheet'!L155," ","sworn"," ",'Character Sheet'!P155," ",'Character Sheet'!R155," ",'Character Sheet'!W155," ","Successes")</f>
        <v xml:space="preserve"> sworn    Successes</v>
      </c>
    </row>
    <row r="321" spans="1:1" x14ac:dyDescent="0.25">
      <c r="A321" s="365" t="str">
        <f>CONCATENATE('Character Sheet'!L156," ","sworn"," ",'Character Sheet'!P156," ",'Character Sheet'!R156," ",'Character Sheet'!W156," ","Successes")</f>
        <v xml:space="preserve"> sworn    Successes</v>
      </c>
    </row>
    <row r="322" spans="1:1" x14ac:dyDescent="0.25">
      <c r="A322" s="404" t="s">
        <v>2154</v>
      </c>
    </row>
    <row r="324" spans="1:1" x14ac:dyDescent="0.25">
      <c r="A324" s="365" t="s">
        <v>2155</v>
      </c>
    </row>
    <row r="325" spans="1:1" x14ac:dyDescent="0.25">
      <c r="A325" s="406" t="s">
        <v>2141</v>
      </c>
    </row>
    <row r="326" spans="1:1" x14ac:dyDescent="0.25">
      <c r="A326" s="406" t="str">
        <f>CONCATENATE('Character Sheet'!L179)</f>
        <v/>
      </c>
    </row>
    <row r="327" spans="1:1" x14ac:dyDescent="0.25">
      <c r="A327" s="406" t="str">
        <f>CONCATENATE('Character Sheet'!L180)</f>
        <v/>
      </c>
    </row>
    <row r="328" spans="1:1" x14ac:dyDescent="0.25">
      <c r="A328" s="406" t="str">
        <f>CONCATENATE('Character Sheet'!L181)</f>
        <v/>
      </c>
    </row>
    <row r="329" spans="1:1" x14ac:dyDescent="0.25">
      <c r="A329" s="406" t="str">
        <f>CONCATENATE('Character Sheet'!L182)</f>
        <v/>
      </c>
    </row>
    <row r="330" spans="1:1" x14ac:dyDescent="0.25">
      <c r="A330" s="406" t="str">
        <f>CONCATENATE('Character Sheet'!L183)</f>
        <v/>
      </c>
    </row>
    <row r="331" spans="1:1" x14ac:dyDescent="0.25">
      <c r="A331" s="406" t="str">
        <f>CONCATENATE('Character Sheet'!L184)</f>
        <v/>
      </c>
    </row>
    <row r="332" spans="1:1" x14ac:dyDescent="0.25">
      <c r="A332" s="406" t="str">
        <f>CONCATENATE('Character Sheet'!L185)</f>
        <v/>
      </c>
    </row>
    <row r="333" spans="1:1" x14ac:dyDescent="0.25">
      <c r="A333" s="406" t="str">
        <f>CONCATENATE('Character Sheet'!L186)</f>
        <v/>
      </c>
    </row>
    <row r="334" spans="1:1" x14ac:dyDescent="0.25">
      <c r="A334" s="406" t="str">
        <f>CONCATENATE('Character Sheet'!L187)</f>
        <v/>
      </c>
    </row>
    <row r="335" spans="1:1" x14ac:dyDescent="0.25">
      <c r="A335" s="406" t="str">
        <f>CONCATENATE('Character Sheet'!L188)</f>
        <v/>
      </c>
    </row>
    <row r="336" spans="1:1" x14ac:dyDescent="0.25">
      <c r="A336" s="406" t="str">
        <f>CONCATENATE('Character Sheet'!L189)</f>
        <v/>
      </c>
    </row>
    <row r="337" spans="1:1" x14ac:dyDescent="0.25">
      <c r="A337" s="406" t="str">
        <f>CONCATENATE('Character Sheet'!L190)</f>
        <v/>
      </c>
    </row>
    <row r="338" spans="1:1" x14ac:dyDescent="0.25">
      <c r="A338" s="406" t="str">
        <f>CONCATENATE('Character Sheet'!L191)</f>
        <v/>
      </c>
    </row>
    <row r="339" spans="1:1" x14ac:dyDescent="0.25">
      <c r="A339" s="406" t="str">
        <f>CONCATENATE('Character Sheet'!L192)</f>
        <v/>
      </c>
    </row>
    <row r="340" spans="1:1" x14ac:dyDescent="0.25">
      <c r="A340" s="406" t="str">
        <f>CONCATENATE('Character Sheet'!L193)</f>
        <v/>
      </c>
    </row>
    <row r="341" spans="1:1" x14ac:dyDescent="0.25">
      <c r="A341" s="406" t="str">
        <f>CONCATENATE('Character Sheet'!L194)</f>
        <v/>
      </c>
    </row>
    <row r="342" spans="1:1" x14ac:dyDescent="0.25">
      <c r="A342" s="406" t="str">
        <f>CONCATENATE('Character Sheet'!L195)</f>
        <v/>
      </c>
    </row>
    <row r="343" spans="1:1" x14ac:dyDescent="0.25">
      <c r="A343" s="406" t="str">
        <f>CONCATENATE('Character Sheet'!L196)</f>
        <v/>
      </c>
    </row>
    <row r="344" spans="1:1" x14ac:dyDescent="0.25">
      <c r="A344" s="406" t="str">
        <f>CONCATENATE('Character Sheet'!L197)</f>
        <v/>
      </c>
    </row>
    <row r="345" spans="1:1" x14ac:dyDescent="0.25">
      <c r="A345" s="406" t="str">
        <f>CONCATENATE('Character Sheet'!L198)</f>
        <v/>
      </c>
    </row>
    <row r="346" spans="1:1" x14ac:dyDescent="0.25">
      <c r="A346" s="365" t="s">
        <v>2156</v>
      </c>
    </row>
    <row r="348" spans="1:1" x14ac:dyDescent="0.25">
      <c r="A348" s="365" t="s">
        <v>2157</v>
      </c>
    </row>
    <row r="349" spans="1:1" x14ac:dyDescent="0.25">
      <c r="A349" s="406" t="s">
        <v>2141</v>
      </c>
    </row>
    <row r="350" spans="1:1" x14ac:dyDescent="0.25">
      <c r="A350" s="365" t="str">
        <f>CONCATENATE('Character Sheet'!L161)</f>
        <v/>
      </c>
    </row>
    <row r="351" spans="1:1" x14ac:dyDescent="0.25">
      <c r="A351" s="365" t="str">
        <f>CONCATENATE('Character Sheet'!L162)</f>
        <v/>
      </c>
    </row>
    <row r="352" spans="1:1" x14ac:dyDescent="0.25">
      <c r="A352" s="365" t="str">
        <f>CONCATENATE('Character Sheet'!L163)</f>
        <v/>
      </c>
    </row>
    <row r="353" spans="1:1" x14ac:dyDescent="0.25">
      <c r="A353" s="365" t="str">
        <f>CONCATENATE('Character Sheet'!L164)</f>
        <v/>
      </c>
    </row>
    <row r="354" spans="1:1" x14ac:dyDescent="0.25">
      <c r="A354" s="365" t="str">
        <f>CONCATENATE('Character Sheet'!L165)</f>
        <v/>
      </c>
    </row>
    <row r="355" spans="1:1" x14ac:dyDescent="0.25">
      <c r="A355" s="365" t="str">
        <f>CONCATENATE('Character Sheet'!R161)</f>
        <v/>
      </c>
    </row>
    <row r="356" spans="1:1" x14ac:dyDescent="0.25">
      <c r="A356" s="365" t="str">
        <f>CONCATENATE('Character Sheet'!R162)</f>
        <v/>
      </c>
    </row>
    <row r="357" spans="1:1" x14ac:dyDescent="0.25">
      <c r="A357" s="365" t="str">
        <f>CONCATENATE('Character Sheet'!R163)</f>
        <v/>
      </c>
    </row>
    <row r="358" spans="1:1" x14ac:dyDescent="0.25">
      <c r="A358" s="365" t="str">
        <f>CONCATENATE('Character Sheet'!R164)</f>
        <v/>
      </c>
    </row>
    <row r="359" spans="1:1" x14ac:dyDescent="0.25">
      <c r="A359" s="365" t="str">
        <f>CONCATENATE('Character Sheet'!R165)</f>
        <v/>
      </c>
    </row>
    <row r="360" spans="1:1" x14ac:dyDescent="0.25">
      <c r="A360" s="365" t="s">
        <v>2158</v>
      </c>
    </row>
  </sheetData>
  <sheetProtection password="8719" sheet="1" objects="1" scenarios="1" formatCells="0" formatRows="0" insertColumns="0" insertRows="0"/>
  <pageMargins left="0.7" right="0.7" top="0.75" bottom="0.75" header="0.3" footer="0.3"/>
  <customProperties>
    <customPr name="_pios_id" r:id="rId1"/>
  </customPropertie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25"/>
  <sheetViews>
    <sheetView workbookViewId="0"/>
  </sheetViews>
  <sheetFormatPr defaultRowHeight="14.25" x14ac:dyDescent="0.25"/>
  <cols>
    <col min="1" max="26" width="7.140625" style="491" customWidth="1"/>
    <col min="27" max="31" width="7.140625" style="491" hidden="1" customWidth="1"/>
    <col min="32" max="32" width="7.140625" style="491" customWidth="1"/>
    <col min="33" max="34" width="9.140625" style="491" customWidth="1"/>
    <col min="35" max="16384" width="9.140625" style="491"/>
  </cols>
  <sheetData>
    <row r="1" spans="2:27" ht="15" thickBot="1" x14ac:dyDescent="0.3"/>
    <row r="2" spans="2:27" ht="14.25" customHeight="1" x14ac:dyDescent="0.25">
      <c r="B2" s="963" t="s">
        <v>2117</v>
      </c>
      <c r="C2" s="964"/>
      <c r="D2" s="964"/>
      <c r="E2" s="964"/>
      <c r="F2" s="964"/>
      <c r="G2" s="964"/>
      <c r="H2" s="964"/>
      <c r="I2" s="964"/>
      <c r="J2" s="964"/>
      <c r="K2" s="964"/>
      <c r="L2" s="964"/>
      <c r="M2" s="964"/>
      <c r="N2" s="964"/>
      <c r="O2" s="964"/>
      <c r="P2" s="964"/>
      <c r="Q2" s="964"/>
      <c r="R2" s="964"/>
      <c r="S2" s="964"/>
      <c r="T2" s="964"/>
      <c r="U2" s="965"/>
    </row>
    <row r="3" spans="2:27" ht="14.25" customHeight="1" x14ac:dyDescent="0.25">
      <c r="B3" s="966"/>
      <c r="C3" s="967"/>
      <c r="D3" s="967"/>
      <c r="E3" s="967"/>
      <c r="F3" s="967"/>
      <c r="G3" s="967"/>
      <c r="H3" s="967"/>
      <c r="I3" s="967"/>
      <c r="J3" s="967"/>
      <c r="K3" s="967"/>
      <c r="L3" s="967"/>
      <c r="M3" s="967"/>
      <c r="N3" s="967"/>
      <c r="O3" s="967"/>
      <c r="P3" s="967"/>
      <c r="Q3" s="967"/>
      <c r="R3" s="967"/>
      <c r="S3" s="967"/>
      <c r="T3" s="967"/>
      <c r="U3" s="968"/>
    </row>
    <row r="4" spans="2:27" x14ac:dyDescent="0.25">
      <c r="B4" s="492"/>
      <c r="C4" s="493"/>
      <c r="D4" s="493"/>
      <c r="E4" s="493"/>
      <c r="F4" s="493"/>
      <c r="G4" s="493"/>
      <c r="H4" s="493"/>
      <c r="I4" s="493"/>
      <c r="J4" s="493"/>
      <c r="K4" s="493"/>
      <c r="L4" s="493"/>
      <c r="M4" s="493"/>
      <c r="N4" s="493"/>
      <c r="O4" s="493"/>
      <c r="P4" s="493"/>
      <c r="Q4" s="493"/>
      <c r="R4" s="493"/>
      <c r="S4" s="493"/>
      <c r="T4" s="493"/>
      <c r="U4" s="494"/>
    </row>
    <row r="5" spans="2:27" ht="14.25" customHeight="1" x14ac:dyDescent="0.25">
      <c r="B5" s="971" t="s">
        <v>1584</v>
      </c>
      <c r="C5" s="972"/>
      <c r="D5" s="972"/>
      <c r="E5" s="972"/>
      <c r="F5" s="972"/>
      <c r="G5" s="972"/>
      <c r="H5" s="972"/>
      <c r="I5" s="972"/>
      <c r="J5" s="972"/>
      <c r="K5" s="972"/>
      <c r="L5" s="972"/>
      <c r="M5" s="972"/>
      <c r="N5" s="972"/>
      <c r="O5" s="972"/>
      <c r="P5" s="972"/>
      <c r="Q5" s="972"/>
      <c r="R5" s="972"/>
      <c r="S5" s="972"/>
      <c r="T5" s="972"/>
      <c r="U5" s="973"/>
    </row>
    <row r="6" spans="2:27" x14ac:dyDescent="0.25">
      <c r="B6" s="971"/>
      <c r="C6" s="972"/>
      <c r="D6" s="972"/>
      <c r="E6" s="972"/>
      <c r="F6" s="972"/>
      <c r="G6" s="972"/>
      <c r="H6" s="972"/>
      <c r="I6" s="972"/>
      <c r="J6" s="972"/>
      <c r="K6" s="972"/>
      <c r="L6" s="972"/>
      <c r="M6" s="972"/>
      <c r="N6" s="972"/>
      <c r="O6" s="972"/>
      <c r="P6" s="972"/>
      <c r="Q6" s="972"/>
      <c r="R6" s="972"/>
      <c r="S6" s="972"/>
      <c r="T6" s="972"/>
      <c r="U6" s="973"/>
    </row>
    <row r="7" spans="2:27" x14ac:dyDescent="0.25">
      <c r="B7" s="971"/>
      <c r="C7" s="972"/>
      <c r="D7" s="972"/>
      <c r="E7" s="972"/>
      <c r="F7" s="972"/>
      <c r="G7" s="972"/>
      <c r="H7" s="972"/>
      <c r="I7" s="972"/>
      <c r="J7" s="972"/>
      <c r="K7" s="972"/>
      <c r="L7" s="972"/>
      <c r="M7" s="972"/>
      <c r="N7" s="972"/>
      <c r="O7" s="972"/>
      <c r="P7" s="972"/>
      <c r="Q7" s="972"/>
      <c r="R7" s="972"/>
      <c r="S7" s="972"/>
      <c r="T7" s="972"/>
      <c r="U7" s="973"/>
    </row>
    <row r="8" spans="2:27" x14ac:dyDescent="0.25">
      <c r="B8" s="495"/>
      <c r="C8" s="496"/>
      <c r="D8" s="496"/>
      <c r="E8" s="496"/>
      <c r="F8" s="496"/>
      <c r="G8" s="496"/>
      <c r="H8" s="496"/>
      <c r="I8" s="496"/>
      <c r="J8" s="496"/>
      <c r="K8" s="496"/>
      <c r="L8" s="496"/>
      <c r="M8" s="496"/>
      <c r="N8" s="496"/>
      <c r="O8" s="496"/>
      <c r="P8" s="496"/>
      <c r="Q8" s="496"/>
      <c r="R8" s="496"/>
      <c r="S8" s="496"/>
      <c r="T8" s="493"/>
      <c r="U8" s="494"/>
    </row>
    <row r="9" spans="2:27" ht="14.25" customHeight="1" x14ac:dyDescent="0.25">
      <c r="B9" s="971" t="s">
        <v>2115</v>
      </c>
      <c r="C9" s="972"/>
      <c r="D9" s="972"/>
      <c r="E9" s="972"/>
      <c r="F9" s="972"/>
      <c r="G9" s="972"/>
      <c r="H9" s="972"/>
      <c r="I9" s="972"/>
      <c r="J9" s="972"/>
      <c r="K9" s="972"/>
      <c r="L9" s="972"/>
      <c r="M9" s="972"/>
      <c r="N9" s="972"/>
      <c r="O9" s="972"/>
      <c r="P9" s="972"/>
      <c r="Q9" s="972"/>
      <c r="R9" s="972"/>
      <c r="S9" s="972"/>
      <c r="T9" s="972"/>
      <c r="U9" s="973"/>
    </row>
    <row r="10" spans="2:27" ht="14.25" customHeight="1" thickBot="1" x14ac:dyDescent="0.3">
      <c r="B10" s="974"/>
      <c r="C10" s="975"/>
      <c r="D10" s="975"/>
      <c r="E10" s="975"/>
      <c r="F10" s="975"/>
      <c r="G10" s="975"/>
      <c r="H10" s="975"/>
      <c r="I10" s="975"/>
      <c r="J10" s="975"/>
      <c r="K10" s="975"/>
      <c r="L10" s="975"/>
      <c r="M10" s="975"/>
      <c r="N10" s="975"/>
      <c r="O10" s="975"/>
      <c r="P10" s="975"/>
      <c r="Q10" s="975"/>
      <c r="R10" s="975"/>
      <c r="S10" s="975"/>
      <c r="T10" s="975"/>
      <c r="U10" s="976"/>
    </row>
    <row r="11" spans="2:27" ht="15" thickBot="1" x14ac:dyDescent="0.3"/>
    <row r="12" spans="2:27" ht="18.75" thickBot="1" x14ac:dyDescent="0.3">
      <c r="B12" s="945" t="s">
        <v>2134</v>
      </c>
      <c r="C12" s="946"/>
      <c r="D12" s="946"/>
      <c r="E12" s="946"/>
      <c r="F12" s="946"/>
      <c r="G12" s="946"/>
      <c r="H12" s="946"/>
      <c r="I12" s="946"/>
      <c r="J12" s="946"/>
      <c r="K12" s="946"/>
      <c r="L12" s="946"/>
      <c r="M12" s="946"/>
      <c r="N12" s="946"/>
      <c r="O12" s="946"/>
      <c r="P12" s="946"/>
      <c r="Q12" s="946"/>
      <c r="R12" s="946"/>
      <c r="S12" s="946"/>
      <c r="T12" s="946"/>
      <c r="U12" s="947"/>
    </row>
    <row r="13" spans="2:27" ht="18.75" thickBot="1" x14ac:dyDescent="0.3">
      <c r="B13" s="945" t="e">
        <f>SUM(F15:F27)</f>
        <v>#N/A</v>
      </c>
      <c r="C13" s="946"/>
      <c r="D13" s="946"/>
      <c r="E13" s="946"/>
      <c r="F13" s="946"/>
      <c r="G13" s="946"/>
      <c r="H13" s="946"/>
      <c r="I13" s="946"/>
      <c r="J13" s="946"/>
      <c r="K13" s="946"/>
      <c r="L13" s="946"/>
      <c r="M13" s="946"/>
      <c r="N13" s="946"/>
      <c r="O13" s="946"/>
      <c r="P13" s="946"/>
      <c r="Q13" s="946"/>
      <c r="R13" s="946"/>
      <c r="S13" s="946"/>
      <c r="T13" s="946"/>
      <c r="U13" s="947"/>
      <c r="AA13" s="491" t="e">
        <f>B13</f>
        <v>#N/A</v>
      </c>
    </row>
    <row r="14" spans="2:27" x14ac:dyDescent="0.25">
      <c r="B14" s="492"/>
      <c r="C14" s="493"/>
      <c r="D14" s="493"/>
      <c r="E14" s="493"/>
      <c r="F14" s="493"/>
      <c r="G14" s="493"/>
      <c r="H14" s="493"/>
      <c r="I14" s="497"/>
      <c r="J14" s="980" t="s">
        <v>1585</v>
      </c>
      <c r="K14" s="944"/>
      <c r="L14" s="944"/>
      <c r="M14" s="944"/>
      <c r="N14" s="944"/>
      <c r="O14" s="944"/>
      <c r="P14" s="944"/>
      <c r="Q14" s="944"/>
      <c r="R14" s="944"/>
      <c r="S14" s="944"/>
      <c r="T14" s="944"/>
      <c r="U14" s="981"/>
    </row>
    <row r="15" spans="2:27" x14ac:dyDescent="0.25">
      <c r="B15" s="943" t="s">
        <v>1591</v>
      </c>
      <c r="C15" s="944"/>
      <c r="D15" s="944"/>
      <c r="E15" s="944"/>
      <c r="F15" s="498">
        <f>B33</f>
        <v>0</v>
      </c>
      <c r="G15" s="493"/>
      <c r="H15" s="493"/>
      <c r="I15" s="497"/>
      <c r="J15" s="499" t="s">
        <v>1586</v>
      </c>
      <c r="K15" s="500"/>
      <c r="L15" s="500"/>
      <c r="M15" s="493"/>
      <c r="N15" s="493"/>
      <c r="O15" s="493"/>
      <c r="P15" s="493"/>
      <c r="Q15" s="493"/>
      <c r="R15" s="493"/>
      <c r="S15" s="493"/>
      <c r="T15" s="493"/>
      <c r="U15" s="494"/>
    </row>
    <row r="16" spans="2:27" x14ac:dyDescent="0.25">
      <c r="B16" s="501"/>
      <c r="C16" s="500"/>
      <c r="D16" s="500"/>
      <c r="E16" s="500"/>
      <c r="F16" s="493"/>
      <c r="G16" s="493"/>
      <c r="H16" s="493"/>
      <c r="I16" s="497"/>
      <c r="J16" s="499"/>
      <c r="K16" s="972" t="s">
        <v>2112</v>
      </c>
      <c r="L16" s="972"/>
      <c r="M16" s="972"/>
      <c r="N16" s="972"/>
      <c r="O16" s="972"/>
      <c r="P16" s="972"/>
      <c r="Q16" s="972"/>
      <c r="R16" s="972"/>
      <c r="S16" s="972"/>
      <c r="T16" s="493"/>
      <c r="U16" s="494"/>
    </row>
    <row r="17" spans="2:21" x14ac:dyDescent="0.25">
      <c r="B17" s="943" t="s">
        <v>2116</v>
      </c>
      <c r="C17" s="944"/>
      <c r="D17" s="944"/>
      <c r="E17" s="944"/>
      <c r="F17" s="498" t="e">
        <f>B56</f>
        <v>#N/A</v>
      </c>
      <c r="G17" s="493"/>
      <c r="H17" s="493"/>
      <c r="I17" s="497"/>
      <c r="J17" s="499"/>
      <c r="K17" s="972"/>
      <c r="L17" s="972"/>
      <c r="M17" s="972"/>
      <c r="N17" s="972"/>
      <c r="O17" s="972"/>
      <c r="P17" s="972"/>
      <c r="Q17" s="972"/>
      <c r="R17" s="972"/>
      <c r="S17" s="972"/>
      <c r="T17" s="493"/>
      <c r="U17" s="494"/>
    </row>
    <row r="18" spans="2:21" x14ac:dyDescent="0.25">
      <c r="B18" s="501"/>
      <c r="C18" s="500"/>
      <c r="D18" s="500"/>
      <c r="E18" s="500"/>
      <c r="F18" s="493"/>
      <c r="G18" s="493"/>
      <c r="H18" s="493"/>
      <c r="I18" s="497"/>
      <c r="J18" s="499"/>
      <c r="K18" s="500"/>
      <c r="L18" s="500"/>
      <c r="M18" s="493"/>
      <c r="N18" s="493"/>
      <c r="O18" s="493"/>
      <c r="P18" s="493"/>
      <c r="Q18" s="493"/>
      <c r="R18" s="493"/>
      <c r="S18" s="493"/>
      <c r="T18" s="493"/>
      <c r="U18" s="494"/>
    </row>
    <row r="19" spans="2:21" x14ac:dyDescent="0.25">
      <c r="B19" s="943" t="s">
        <v>1615</v>
      </c>
      <c r="C19" s="944"/>
      <c r="D19" s="944"/>
      <c r="E19" s="944"/>
      <c r="F19" s="498">
        <f>B95</f>
        <v>0</v>
      </c>
      <c r="G19" s="493"/>
      <c r="H19" s="493"/>
      <c r="I19" s="497"/>
      <c r="J19" s="980" t="s">
        <v>2007</v>
      </c>
      <c r="K19" s="944"/>
      <c r="L19" s="944"/>
      <c r="M19" s="944"/>
      <c r="N19" s="944"/>
      <c r="O19" s="944"/>
      <c r="P19" s="944"/>
      <c r="Q19" s="944"/>
      <c r="R19" s="944"/>
      <c r="S19" s="944"/>
      <c r="T19" s="944"/>
      <c r="U19" s="981"/>
    </row>
    <row r="20" spans="2:21" x14ac:dyDescent="0.25">
      <c r="B20" s="501"/>
      <c r="C20" s="500"/>
      <c r="D20" s="500"/>
      <c r="E20" s="500"/>
      <c r="F20" s="493"/>
      <c r="G20" s="493"/>
      <c r="H20" s="493"/>
      <c r="I20" s="497"/>
      <c r="J20" s="502"/>
      <c r="K20" s="944"/>
      <c r="L20" s="944"/>
      <c r="M20" s="944"/>
      <c r="N20" s="503"/>
      <c r="O20" s="503"/>
      <c r="P20" s="493"/>
      <c r="Q20" s="493"/>
      <c r="R20" s="493"/>
      <c r="S20" s="493"/>
      <c r="T20" s="493"/>
      <c r="U20" s="494"/>
    </row>
    <row r="21" spans="2:21" x14ac:dyDescent="0.25">
      <c r="B21" s="943" t="s">
        <v>2039</v>
      </c>
      <c r="C21" s="944"/>
      <c r="D21" s="944"/>
      <c r="E21" s="944"/>
      <c r="F21" s="498">
        <f>IF(B112="Yes",1,0)</f>
        <v>0</v>
      </c>
      <c r="G21" s="493"/>
      <c r="H21" s="493"/>
      <c r="I21" s="497"/>
      <c r="J21" s="502"/>
      <c r="K21" s="969" t="s">
        <v>1587</v>
      </c>
      <c r="L21" s="736"/>
      <c r="M21" s="736"/>
      <c r="N21" s="504"/>
      <c r="O21" s="970" t="s">
        <v>2130</v>
      </c>
      <c r="P21" s="970"/>
      <c r="Q21" s="970"/>
      <c r="R21" s="493"/>
      <c r="S21" s="493"/>
      <c r="T21" s="493"/>
      <c r="U21" s="494"/>
    </row>
    <row r="22" spans="2:21" x14ac:dyDescent="0.25">
      <c r="B22" s="501"/>
      <c r="C22" s="500"/>
      <c r="D22" s="500"/>
      <c r="E22" s="500"/>
      <c r="F22" s="493"/>
      <c r="G22" s="493"/>
      <c r="H22" s="493"/>
      <c r="I22" s="497"/>
      <c r="J22" s="502"/>
      <c r="K22" s="969" t="s">
        <v>1588</v>
      </c>
      <c r="L22" s="736"/>
      <c r="M22" s="736"/>
      <c r="N22" s="504"/>
      <c r="O22" s="970" t="s">
        <v>2131</v>
      </c>
      <c r="P22" s="970"/>
      <c r="Q22" s="970"/>
      <c r="R22" s="493"/>
      <c r="S22" s="493"/>
      <c r="T22" s="493"/>
      <c r="U22" s="494"/>
    </row>
    <row r="23" spans="2:21" x14ac:dyDescent="0.25">
      <c r="B23" s="943" t="s">
        <v>1588</v>
      </c>
      <c r="C23" s="944"/>
      <c r="D23" s="944"/>
      <c r="E23" s="944"/>
      <c r="F23" s="498">
        <f>IF(B123="Yes",1,0)</f>
        <v>0</v>
      </c>
      <c r="G23" s="493"/>
      <c r="H23" s="493"/>
      <c r="I23" s="497"/>
      <c r="J23" s="502"/>
      <c r="K23" s="505" t="s">
        <v>1589</v>
      </c>
      <c r="L23" s="505"/>
      <c r="M23" s="506"/>
      <c r="N23" s="504"/>
      <c r="O23" s="970" t="s">
        <v>2132</v>
      </c>
      <c r="P23" s="970"/>
      <c r="Q23" s="970"/>
      <c r="R23" s="493"/>
      <c r="S23" s="493"/>
      <c r="T23" s="493"/>
      <c r="U23" s="494"/>
    </row>
    <row r="24" spans="2:21" x14ac:dyDescent="0.25">
      <c r="B24" s="492"/>
      <c r="C24" s="493"/>
      <c r="D24" s="493"/>
      <c r="E24" s="493"/>
      <c r="F24" s="493"/>
      <c r="G24" s="493"/>
      <c r="H24" s="493"/>
      <c r="I24" s="497"/>
      <c r="J24" s="502"/>
      <c r="K24" s="505" t="s">
        <v>1590</v>
      </c>
      <c r="L24" s="505"/>
      <c r="M24" s="506"/>
      <c r="N24" s="504"/>
      <c r="O24" s="970" t="s">
        <v>2133</v>
      </c>
      <c r="P24" s="970"/>
      <c r="Q24" s="970"/>
      <c r="R24" s="493"/>
      <c r="S24" s="493"/>
      <c r="T24" s="493"/>
      <c r="U24" s="494"/>
    </row>
    <row r="25" spans="2:21" x14ac:dyDescent="0.25">
      <c r="B25" s="492" t="s">
        <v>1256</v>
      </c>
      <c r="C25" s="493"/>
      <c r="D25" s="493"/>
      <c r="E25" s="493"/>
      <c r="F25" s="498">
        <f ca="1">herd</f>
        <v>0</v>
      </c>
      <c r="G25" s="493"/>
      <c r="H25" s="493"/>
      <c r="I25" s="497"/>
      <c r="J25" s="502"/>
      <c r="K25" s="505" t="s">
        <v>2028</v>
      </c>
      <c r="L25" s="505"/>
      <c r="M25" s="506"/>
      <c r="N25" s="504"/>
      <c r="O25" s="970" t="s">
        <v>2032</v>
      </c>
      <c r="P25" s="970"/>
      <c r="Q25" s="970"/>
      <c r="R25" s="507"/>
      <c r="S25" s="493"/>
      <c r="T25" s="493"/>
      <c r="U25" s="494"/>
    </row>
    <row r="26" spans="2:21" x14ac:dyDescent="0.25">
      <c r="B26" s="492"/>
      <c r="C26" s="493"/>
      <c r="D26" s="493"/>
      <c r="E26" s="493"/>
      <c r="F26" s="493"/>
      <c r="G26" s="493"/>
      <c r="H26" s="493"/>
      <c r="I26" s="497"/>
      <c r="J26" s="502"/>
      <c r="K26" s="969" t="s">
        <v>1302</v>
      </c>
      <c r="L26" s="736"/>
      <c r="M26" s="736"/>
      <c r="N26" s="504"/>
      <c r="O26" s="970" t="s">
        <v>2031</v>
      </c>
      <c r="P26" s="970"/>
      <c r="Q26" s="970"/>
      <c r="R26" s="493"/>
      <c r="S26" s="493"/>
      <c r="T26" s="493"/>
      <c r="U26" s="494"/>
    </row>
    <row r="27" spans="2:21" x14ac:dyDescent="0.25">
      <c r="B27" s="943" t="s">
        <v>2121</v>
      </c>
      <c r="C27" s="944"/>
      <c r="D27" s="944"/>
      <c r="E27" s="944"/>
      <c r="F27" s="528"/>
      <c r="G27" s="493"/>
      <c r="H27" s="493"/>
      <c r="I27" s="497"/>
      <c r="J27" s="502"/>
      <c r="K27" s="493"/>
      <c r="L27" s="493"/>
      <c r="M27" s="493"/>
      <c r="N27" s="493"/>
      <c r="O27" s="493"/>
      <c r="P27" s="493"/>
      <c r="Q27" s="493"/>
      <c r="R27" s="493"/>
      <c r="S27" s="493"/>
      <c r="T27" s="493"/>
      <c r="U27" s="494"/>
    </row>
    <row r="28" spans="2:21" ht="15" thickBot="1" x14ac:dyDescent="0.3">
      <c r="B28" s="508"/>
      <c r="C28" s="509"/>
      <c r="D28" s="509"/>
      <c r="E28" s="509"/>
      <c r="F28" s="510"/>
      <c r="G28" s="510"/>
      <c r="H28" s="510"/>
      <c r="I28" s="511"/>
      <c r="J28" s="512"/>
      <c r="K28" s="510"/>
      <c r="L28" s="510"/>
      <c r="M28" s="510"/>
      <c r="N28" s="510"/>
      <c r="O28" s="510"/>
      <c r="P28" s="510"/>
      <c r="Q28" s="510"/>
      <c r="R28" s="510"/>
      <c r="S28" s="510"/>
      <c r="T28" s="510"/>
      <c r="U28" s="513"/>
    </row>
    <row r="29" spans="2:21" x14ac:dyDescent="0.25">
      <c r="B29" s="514"/>
      <c r="C29" s="514"/>
      <c r="D29" s="514"/>
      <c r="E29" s="514"/>
    </row>
    <row r="30" spans="2:21" ht="15" thickBot="1" x14ac:dyDescent="0.3"/>
    <row r="31" spans="2:21" ht="18.75" thickBot="1" x14ac:dyDescent="0.3">
      <c r="B31" s="977" t="s">
        <v>2107</v>
      </c>
      <c r="C31" s="978"/>
      <c r="D31" s="978"/>
      <c r="E31" s="978"/>
      <c r="F31" s="978"/>
      <c r="G31" s="978"/>
      <c r="H31" s="978"/>
      <c r="I31" s="978"/>
      <c r="J31" s="978"/>
      <c r="K31" s="978"/>
      <c r="L31" s="978"/>
      <c r="M31" s="978"/>
      <c r="N31" s="978"/>
      <c r="O31" s="978"/>
      <c r="P31" s="978"/>
      <c r="Q31" s="978"/>
      <c r="R31" s="978"/>
      <c r="S31" s="978"/>
      <c r="T31" s="978"/>
      <c r="U31" s="979"/>
    </row>
    <row r="32" spans="2:21" ht="14.25" customHeight="1" thickBot="1" x14ac:dyDescent="0.3">
      <c r="B32" s="948" t="s">
        <v>1591</v>
      </c>
      <c r="C32" s="949"/>
      <c r="D32" s="949"/>
      <c r="E32" s="949"/>
      <c r="F32" s="949"/>
      <c r="G32" s="949"/>
      <c r="H32" s="949"/>
      <c r="I32" s="949"/>
      <c r="J32" s="949"/>
      <c r="K32" s="949"/>
      <c r="L32" s="949"/>
      <c r="M32" s="949"/>
      <c r="N32" s="949"/>
      <c r="O32" s="949"/>
      <c r="P32" s="949"/>
      <c r="Q32" s="949"/>
      <c r="R32" s="949"/>
      <c r="S32" s="949"/>
      <c r="T32" s="949"/>
      <c r="U32" s="950"/>
    </row>
    <row r="33" spans="2:30" x14ac:dyDescent="0.25">
      <c r="B33" s="1014"/>
      <c r="C33" s="1015"/>
      <c r="D33" s="1015"/>
      <c r="E33" s="1015"/>
      <c r="F33" s="1015"/>
      <c r="G33" s="1015"/>
      <c r="H33" s="1015"/>
      <c r="I33" s="1016"/>
      <c r="J33" s="992" t="s">
        <v>1592</v>
      </c>
      <c r="K33" s="1002"/>
      <c r="L33" s="1002"/>
      <c r="M33" s="1002"/>
      <c r="N33" s="1002"/>
      <c r="O33" s="1002"/>
      <c r="P33" s="1002"/>
      <c r="Q33" s="1002"/>
      <c r="R33" s="1002"/>
      <c r="S33" s="1002"/>
      <c r="T33" s="1002"/>
      <c r="U33" s="1003"/>
    </row>
    <row r="34" spans="2:30" x14ac:dyDescent="0.25">
      <c r="B34" s="1014"/>
      <c r="C34" s="1015"/>
      <c r="D34" s="1015"/>
      <c r="E34" s="1015"/>
      <c r="F34" s="1015"/>
      <c r="G34" s="1015"/>
      <c r="H34" s="1015"/>
      <c r="I34" s="1016"/>
      <c r="J34" s="1004"/>
      <c r="K34" s="1002"/>
      <c r="L34" s="1002"/>
      <c r="M34" s="1002"/>
      <c r="N34" s="1002"/>
      <c r="O34" s="1002"/>
      <c r="P34" s="1002"/>
      <c r="Q34" s="1002"/>
      <c r="R34" s="1002"/>
      <c r="S34" s="1002"/>
      <c r="T34" s="1002"/>
      <c r="U34" s="1003"/>
    </row>
    <row r="35" spans="2:30" x14ac:dyDescent="0.25">
      <c r="B35" s="1014"/>
      <c r="C35" s="1015"/>
      <c r="D35" s="1015"/>
      <c r="E35" s="1015"/>
      <c r="F35" s="1015"/>
      <c r="G35" s="1015"/>
      <c r="H35" s="1015"/>
      <c r="I35" s="1016"/>
      <c r="J35" s="1004"/>
      <c r="K35" s="1002"/>
      <c r="L35" s="1002"/>
      <c r="M35" s="1002"/>
      <c r="N35" s="1002"/>
      <c r="O35" s="1002"/>
      <c r="P35" s="1002"/>
      <c r="Q35" s="1002"/>
      <c r="R35" s="1002"/>
      <c r="S35" s="1002"/>
      <c r="T35" s="1002"/>
      <c r="U35" s="1003"/>
    </row>
    <row r="36" spans="2:30" ht="15" customHeight="1" x14ac:dyDescent="0.25">
      <c r="B36" s="1014"/>
      <c r="C36" s="1015"/>
      <c r="D36" s="1015"/>
      <c r="E36" s="1015"/>
      <c r="F36" s="1015"/>
      <c r="G36" s="1015"/>
      <c r="H36" s="1015"/>
      <c r="I36" s="1016"/>
      <c r="J36" s="502"/>
      <c r="K36" s="493"/>
      <c r="L36" s="493"/>
      <c r="M36" s="493"/>
      <c r="N36" s="493"/>
      <c r="O36" s="493"/>
      <c r="P36" s="493"/>
      <c r="Q36" s="493"/>
      <c r="R36" s="493"/>
      <c r="S36" s="493"/>
      <c r="T36" s="493"/>
      <c r="U36" s="494"/>
    </row>
    <row r="37" spans="2:30" ht="15" customHeight="1" x14ac:dyDescent="0.25">
      <c r="B37" s="1014"/>
      <c r="C37" s="1015"/>
      <c r="D37" s="1015"/>
      <c r="E37" s="1015"/>
      <c r="F37" s="1015"/>
      <c r="G37" s="1015"/>
      <c r="H37" s="1015"/>
      <c r="I37" s="1016"/>
      <c r="J37" s="1005" t="s">
        <v>1598</v>
      </c>
      <c r="K37" s="1006"/>
      <c r="L37" s="1006"/>
      <c r="M37" s="493"/>
      <c r="N37" s="493"/>
      <c r="O37" s="493"/>
      <c r="P37" s="493"/>
      <c r="Q37" s="493"/>
      <c r="R37" s="493"/>
      <c r="S37" s="493"/>
      <c r="T37" s="493"/>
      <c r="U37" s="494"/>
    </row>
    <row r="38" spans="2:30" x14ac:dyDescent="0.25">
      <c r="B38" s="1014"/>
      <c r="C38" s="1015"/>
      <c r="D38" s="1015"/>
      <c r="E38" s="1015"/>
      <c r="F38" s="1015"/>
      <c r="G38" s="1015"/>
      <c r="H38" s="1015"/>
      <c r="I38" s="1016"/>
      <c r="J38" s="1007" t="s">
        <v>1594</v>
      </c>
      <c r="K38" s="1008"/>
      <c r="L38" s="1008"/>
      <c r="M38" s="1008"/>
      <c r="N38" s="1008"/>
      <c r="O38" s="1008"/>
      <c r="P38" s="1008"/>
      <c r="Q38" s="1008"/>
      <c r="R38" s="1008"/>
      <c r="S38" s="1008"/>
      <c r="T38" s="1008"/>
      <c r="U38" s="1009"/>
    </row>
    <row r="39" spans="2:30" x14ac:dyDescent="0.25">
      <c r="B39" s="1014"/>
      <c r="C39" s="1015"/>
      <c r="D39" s="1015"/>
      <c r="E39" s="1015"/>
      <c r="F39" s="1015"/>
      <c r="G39" s="1015"/>
      <c r="H39" s="1015"/>
      <c r="I39" s="1016"/>
      <c r="J39" s="1007" t="s">
        <v>1593</v>
      </c>
      <c r="K39" s="1008"/>
      <c r="L39" s="1008"/>
      <c r="M39" s="1008"/>
      <c r="N39" s="1008"/>
      <c r="O39" s="1008"/>
      <c r="P39" s="1008"/>
      <c r="Q39" s="1008"/>
      <c r="R39" s="1008"/>
      <c r="S39" s="1008"/>
      <c r="T39" s="1008"/>
      <c r="U39" s="1009"/>
    </row>
    <row r="40" spans="2:30" x14ac:dyDescent="0.25">
      <c r="B40" s="1014"/>
      <c r="C40" s="1015"/>
      <c r="D40" s="1015"/>
      <c r="E40" s="1015"/>
      <c r="F40" s="1015"/>
      <c r="G40" s="1015"/>
      <c r="H40" s="1015"/>
      <c r="I40" s="1016"/>
      <c r="J40" s="1007" t="s">
        <v>1595</v>
      </c>
      <c r="K40" s="1008"/>
      <c r="L40" s="1008"/>
      <c r="M40" s="1008"/>
      <c r="N40" s="1008"/>
      <c r="O40" s="1008"/>
      <c r="P40" s="1008"/>
      <c r="Q40" s="1008"/>
      <c r="R40" s="1008"/>
      <c r="S40" s="1008"/>
      <c r="T40" s="1008"/>
      <c r="U40" s="1009"/>
    </row>
    <row r="41" spans="2:30" x14ac:dyDescent="0.25">
      <c r="B41" s="1014"/>
      <c r="C41" s="1015"/>
      <c r="D41" s="1015"/>
      <c r="E41" s="1015"/>
      <c r="F41" s="1015"/>
      <c r="G41" s="1015"/>
      <c r="H41" s="1015"/>
      <c r="I41" s="1016"/>
      <c r="J41" s="1007" t="s">
        <v>1596</v>
      </c>
      <c r="K41" s="1008"/>
      <c r="L41" s="1008"/>
      <c r="M41" s="1008"/>
      <c r="N41" s="1008"/>
      <c r="O41" s="1008"/>
      <c r="P41" s="1008"/>
      <c r="Q41" s="1008"/>
      <c r="R41" s="1008"/>
      <c r="S41" s="1008"/>
      <c r="T41" s="1008"/>
      <c r="U41" s="1009"/>
    </row>
    <row r="42" spans="2:30" ht="15" thickBot="1" x14ac:dyDescent="0.3">
      <c r="B42" s="1017"/>
      <c r="C42" s="1018"/>
      <c r="D42" s="1018"/>
      <c r="E42" s="1018"/>
      <c r="F42" s="1018"/>
      <c r="G42" s="1018"/>
      <c r="H42" s="1018"/>
      <c r="I42" s="1019"/>
      <c r="J42" s="1011" t="s">
        <v>1597</v>
      </c>
      <c r="K42" s="1012"/>
      <c r="L42" s="1012"/>
      <c r="M42" s="1012"/>
      <c r="N42" s="1012"/>
      <c r="O42" s="1012"/>
      <c r="P42" s="1012"/>
      <c r="Q42" s="1012"/>
      <c r="R42" s="1012"/>
      <c r="S42" s="1012"/>
      <c r="T42" s="1012"/>
      <c r="U42" s="1013"/>
    </row>
    <row r="43" spans="2:30" x14ac:dyDescent="0.25">
      <c r="J43" s="515"/>
      <c r="K43" s="516"/>
      <c r="L43" s="516"/>
      <c r="M43" s="516"/>
      <c r="N43" s="516"/>
      <c r="O43" s="516"/>
      <c r="P43" s="516"/>
      <c r="Q43" s="516"/>
      <c r="R43" s="516"/>
      <c r="S43" s="516"/>
      <c r="T43" s="516"/>
      <c r="U43" s="516"/>
    </row>
    <row r="44" spans="2:30" ht="15" thickBot="1" x14ac:dyDescent="0.3"/>
    <row r="45" spans="2:30" ht="18.75" thickBot="1" x14ac:dyDescent="0.3">
      <c r="B45" s="977" t="s">
        <v>2108</v>
      </c>
      <c r="C45" s="978"/>
      <c r="D45" s="978"/>
      <c r="E45" s="978"/>
      <c r="F45" s="978"/>
      <c r="G45" s="978"/>
      <c r="H45" s="978"/>
      <c r="I45" s="978"/>
      <c r="J45" s="978"/>
      <c r="K45" s="978"/>
      <c r="L45" s="978"/>
      <c r="M45" s="978"/>
      <c r="N45" s="978"/>
      <c r="O45" s="978"/>
      <c r="P45" s="978"/>
      <c r="Q45" s="978"/>
      <c r="R45" s="978"/>
      <c r="S45" s="978"/>
      <c r="T45" s="978"/>
      <c r="U45" s="979"/>
    </row>
    <row r="46" spans="2:30" ht="14.25" customHeight="1" thickBot="1" x14ac:dyDescent="0.3">
      <c r="B46" s="948" t="s">
        <v>1599</v>
      </c>
      <c r="C46" s="949"/>
      <c r="D46" s="949"/>
      <c r="E46" s="949"/>
      <c r="F46" s="949"/>
      <c r="G46" s="949"/>
      <c r="H46" s="949"/>
      <c r="I46" s="949"/>
      <c r="J46" s="949"/>
      <c r="K46" s="949"/>
      <c r="L46" s="949"/>
      <c r="M46" s="949"/>
      <c r="N46" s="949"/>
      <c r="O46" s="949"/>
      <c r="P46" s="949"/>
      <c r="Q46" s="949"/>
      <c r="R46" s="949"/>
      <c r="S46" s="949"/>
      <c r="T46" s="949"/>
      <c r="U46" s="950"/>
    </row>
    <row r="47" spans="2:30" ht="15" x14ac:dyDescent="0.25">
      <c r="B47" s="993" t="s">
        <v>2118</v>
      </c>
      <c r="C47" s="994"/>
      <c r="D47" s="994"/>
      <c r="E47" s="994"/>
      <c r="F47" s="994"/>
      <c r="G47" s="994"/>
      <c r="H47" s="994"/>
      <c r="I47" s="995"/>
      <c r="J47" s="992" t="s">
        <v>1600</v>
      </c>
      <c r="K47" s="986"/>
      <c r="L47" s="986"/>
      <c r="M47" s="986"/>
      <c r="N47" s="986"/>
      <c r="O47" s="986"/>
      <c r="P47" s="986"/>
      <c r="Q47" s="986"/>
      <c r="R47" s="986"/>
      <c r="S47" s="986"/>
      <c r="T47" s="986"/>
      <c r="U47" s="987"/>
      <c r="AB47" s="401"/>
    </row>
    <row r="48" spans="2:30" ht="15" x14ac:dyDescent="0.25">
      <c r="B48" s="1024"/>
      <c r="C48" s="1025"/>
      <c r="D48" s="1025"/>
      <c r="E48" s="1025"/>
      <c r="F48" s="1025"/>
      <c r="G48" s="1025"/>
      <c r="H48" s="1025"/>
      <c r="I48" s="1026"/>
      <c r="J48" s="992"/>
      <c r="K48" s="986"/>
      <c r="L48" s="986"/>
      <c r="M48" s="986"/>
      <c r="N48" s="986"/>
      <c r="O48" s="986"/>
      <c r="P48" s="986"/>
      <c r="Q48" s="986"/>
      <c r="R48" s="986"/>
      <c r="S48" s="986"/>
      <c r="T48" s="986"/>
      <c r="U48" s="987"/>
      <c r="AA48" s="491" t="s">
        <v>2021</v>
      </c>
      <c r="AB48" s="399">
        <f>presence+MAX(empathy,socialize)+MAX(animalism,dominate,IF(bloodline="Morotrophian",BloodDis,0))</f>
        <v>1</v>
      </c>
      <c r="AC48" s="491" t="e">
        <f>VLOOKUP(B48,sustainedtable,2,FALSE)</f>
        <v>#N/A</v>
      </c>
      <c r="AD48" s="491" t="e">
        <f>((AC48+AC50+AC54)/AC52)</f>
        <v>#N/A</v>
      </c>
    </row>
    <row r="49" spans="2:30" ht="15" x14ac:dyDescent="0.25">
      <c r="B49" s="1020" t="s">
        <v>2119</v>
      </c>
      <c r="C49" s="1021"/>
      <c r="D49" s="1021"/>
      <c r="E49" s="1021"/>
      <c r="F49" s="1021"/>
      <c r="G49" s="1021"/>
      <c r="H49" s="1021"/>
      <c r="I49" s="1021"/>
      <c r="J49" s="992"/>
      <c r="K49" s="986"/>
      <c r="L49" s="986"/>
      <c r="M49" s="986"/>
      <c r="N49" s="986"/>
      <c r="O49" s="986"/>
      <c r="P49" s="986"/>
      <c r="Q49" s="986"/>
      <c r="R49" s="986"/>
      <c r="S49" s="986"/>
      <c r="T49" s="986"/>
      <c r="U49" s="987"/>
      <c r="AA49" s="491" t="s">
        <v>2022</v>
      </c>
      <c r="AB49" s="120">
        <f>wits+MAX(stealth,larceny)+MAX(auspex,celerity)</f>
        <v>1</v>
      </c>
      <c r="AD49" s="491" t="e">
        <f>ROUNDDOWN(AD48,0)</f>
        <v>#N/A</v>
      </c>
    </row>
    <row r="50" spans="2:30" ht="14.25" customHeight="1" x14ac:dyDescent="0.25">
      <c r="B50" s="996"/>
      <c r="C50" s="997"/>
      <c r="D50" s="997"/>
      <c r="E50" s="997"/>
      <c r="F50" s="997"/>
      <c r="G50" s="997"/>
      <c r="H50" s="997"/>
      <c r="I50" s="997"/>
      <c r="J50" s="517"/>
      <c r="K50" s="518"/>
      <c r="L50" s="518"/>
      <c r="M50" s="518"/>
      <c r="N50" s="518"/>
      <c r="O50" s="518"/>
      <c r="P50" s="518"/>
      <c r="Q50" s="518"/>
      <c r="R50" s="518"/>
      <c r="S50" s="518"/>
      <c r="T50" s="518"/>
      <c r="U50" s="519"/>
      <c r="AA50" s="491" t="s">
        <v>2023</v>
      </c>
      <c r="AB50" s="120">
        <f>composure+MAX(brawl,streetwise)+MAX(nightmare,obfuscate,IF(bloodline="Noctuku",BloodDis,0))</f>
        <v>1</v>
      </c>
      <c r="AC50" s="491">
        <f>IF(B50="Yes",resolve,0)</f>
        <v>0</v>
      </c>
    </row>
    <row r="51" spans="2:30" ht="14.25" customHeight="1" x14ac:dyDescent="0.25">
      <c r="B51" s="1020" t="s">
        <v>2120</v>
      </c>
      <c r="C51" s="1021"/>
      <c r="D51" s="1021"/>
      <c r="E51" s="1021"/>
      <c r="F51" s="1021"/>
      <c r="G51" s="1021"/>
      <c r="H51" s="1021"/>
      <c r="I51" s="1021"/>
      <c r="J51" s="992" t="s">
        <v>2135</v>
      </c>
      <c r="K51" s="986"/>
      <c r="L51" s="986"/>
      <c r="M51" s="986"/>
      <c r="N51" s="986"/>
      <c r="O51" s="986"/>
      <c r="P51" s="986"/>
      <c r="Q51" s="986"/>
      <c r="R51" s="986"/>
      <c r="S51" s="986"/>
      <c r="T51" s="986"/>
      <c r="U51" s="987"/>
      <c r="AA51" s="491" t="s">
        <v>2024</v>
      </c>
      <c r="AB51" s="120">
        <f>manipulation+MAX(intimidation,persuasion)+MAX(majesty,vigor,IF(OR(bloodline="Duchagne",bloodline="Anvari"),BloodDis,0))</f>
        <v>1</v>
      </c>
    </row>
    <row r="52" spans="2:30" ht="14.25" customHeight="1" x14ac:dyDescent="0.25">
      <c r="B52" s="996"/>
      <c r="C52" s="997"/>
      <c r="D52" s="997"/>
      <c r="E52" s="997"/>
      <c r="F52" s="997"/>
      <c r="G52" s="997"/>
      <c r="H52" s="997"/>
      <c r="I52" s="997"/>
      <c r="J52" s="992"/>
      <c r="K52" s="986"/>
      <c r="L52" s="986"/>
      <c r="M52" s="986"/>
      <c r="N52" s="986"/>
      <c r="O52" s="986"/>
      <c r="P52" s="986"/>
      <c r="Q52" s="986"/>
      <c r="R52" s="986"/>
      <c r="S52" s="986"/>
      <c r="T52" s="986"/>
      <c r="U52" s="987"/>
      <c r="AA52" s="491" t="s">
        <v>2025</v>
      </c>
      <c r="AB52" s="120">
        <f>stamina+MAX(athletics,survival)+MAX(protean,resilience)</f>
        <v>1</v>
      </c>
      <c r="AC52" s="491">
        <f>IF(B52="Yes",2,3)</f>
        <v>3</v>
      </c>
    </row>
    <row r="53" spans="2:30" ht="14.25" customHeight="1" x14ac:dyDescent="0.25">
      <c r="B53" s="1020" t="s">
        <v>2122</v>
      </c>
      <c r="C53" s="1021"/>
      <c r="D53" s="1021"/>
      <c r="E53" s="1021"/>
      <c r="F53" s="1021"/>
      <c r="G53" s="1021"/>
      <c r="H53" s="1021"/>
      <c r="I53" s="1021"/>
      <c r="J53" s="992" t="s">
        <v>2114</v>
      </c>
      <c r="K53" s="986"/>
      <c r="L53" s="986"/>
      <c r="M53" s="986"/>
      <c r="N53" s="986"/>
      <c r="O53" s="986"/>
      <c r="P53" s="986"/>
      <c r="Q53" s="986"/>
      <c r="R53" s="986"/>
      <c r="S53" s="986"/>
      <c r="T53" s="986"/>
      <c r="U53" s="987"/>
    </row>
    <row r="54" spans="2:30" ht="15" customHeight="1" x14ac:dyDescent="0.25">
      <c r="B54" s="996"/>
      <c r="C54" s="997"/>
      <c r="D54" s="997"/>
      <c r="E54" s="997"/>
      <c r="F54" s="997"/>
      <c r="G54" s="997"/>
      <c r="H54" s="997"/>
      <c r="I54" s="997"/>
      <c r="J54" s="992" t="s">
        <v>2113</v>
      </c>
      <c r="K54" s="986"/>
      <c r="L54" s="986"/>
      <c r="M54" s="986"/>
      <c r="N54" s="986"/>
      <c r="O54" s="986"/>
      <c r="P54" s="986"/>
      <c r="Q54" s="986"/>
      <c r="R54" s="986"/>
      <c r="S54" s="986"/>
      <c r="T54" s="986"/>
      <c r="U54" s="987"/>
      <c r="AC54" s="491">
        <f>B54</f>
        <v>0</v>
      </c>
    </row>
    <row r="55" spans="2:30" ht="15" customHeight="1" x14ac:dyDescent="0.25">
      <c r="B55" s="1020" t="s">
        <v>2123</v>
      </c>
      <c r="C55" s="1021"/>
      <c r="D55" s="1021"/>
      <c r="E55" s="1021"/>
      <c r="F55" s="1021"/>
      <c r="G55" s="1021"/>
      <c r="H55" s="1021"/>
      <c r="I55" s="1021"/>
      <c r="J55" s="520"/>
      <c r="K55" s="496"/>
      <c r="L55" s="496"/>
      <c r="M55" s="496"/>
      <c r="N55" s="496"/>
      <c r="O55" s="496"/>
      <c r="P55" s="496"/>
      <c r="Q55" s="496"/>
      <c r="R55" s="496"/>
      <c r="S55" s="496"/>
      <c r="T55" s="496"/>
      <c r="U55" s="521"/>
    </row>
    <row r="56" spans="2:30" ht="15" customHeight="1" thickBot="1" x14ac:dyDescent="0.3">
      <c r="B56" s="1022" t="e">
        <f>AD49</f>
        <v>#N/A</v>
      </c>
      <c r="C56" s="1023"/>
      <c r="D56" s="1023"/>
      <c r="E56" s="1023"/>
      <c r="F56" s="1023"/>
      <c r="G56" s="1023"/>
      <c r="H56" s="1023"/>
      <c r="I56" s="1023"/>
      <c r="J56" s="520"/>
      <c r="K56" s="496"/>
      <c r="L56" s="496"/>
      <c r="M56" s="496"/>
      <c r="N56" s="496"/>
      <c r="O56" s="496"/>
      <c r="P56" s="496"/>
      <c r="Q56" s="496"/>
      <c r="R56" s="496"/>
      <c r="S56" s="496"/>
      <c r="T56" s="496"/>
      <c r="U56" s="521"/>
    </row>
    <row r="57" spans="2:30" ht="15" customHeight="1" x14ac:dyDescent="0.25">
      <c r="B57" s="389"/>
      <c r="C57" s="389"/>
      <c r="D57" s="389"/>
      <c r="E57" s="389"/>
      <c r="F57" s="389"/>
      <c r="G57" s="389"/>
      <c r="H57" s="389"/>
      <c r="I57" s="389"/>
      <c r="J57" s="988" t="s">
        <v>2033</v>
      </c>
      <c r="K57" s="986"/>
      <c r="L57" s="986"/>
      <c r="M57" s="986"/>
      <c r="N57" s="986"/>
      <c r="O57" s="986"/>
      <c r="P57" s="986"/>
      <c r="Q57" s="986"/>
      <c r="R57" s="986"/>
      <c r="S57" s="986"/>
      <c r="T57" s="986"/>
      <c r="U57" s="987"/>
    </row>
    <row r="58" spans="2:30" ht="15" customHeight="1" x14ac:dyDescent="0.25">
      <c r="B58" s="522"/>
      <c r="C58" s="522"/>
      <c r="D58" s="522"/>
      <c r="E58" s="522"/>
      <c r="F58" s="522"/>
      <c r="G58" s="522"/>
      <c r="H58" s="522"/>
      <c r="I58" s="389"/>
      <c r="J58" s="495"/>
      <c r="K58" s="957" t="s">
        <v>2008</v>
      </c>
      <c r="L58" s="958"/>
      <c r="M58" s="959"/>
      <c r="N58" s="960" t="s">
        <v>2127</v>
      </c>
      <c r="O58" s="959"/>
      <c r="P58" s="496"/>
      <c r="Q58" s="496"/>
      <c r="R58" s="496"/>
      <c r="S58" s="496"/>
      <c r="T58" s="496"/>
      <c r="U58" s="521"/>
    </row>
    <row r="59" spans="2:30" ht="15" customHeight="1" x14ac:dyDescent="0.25">
      <c r="B59" s="522"/>
      <c r="C59" s="522"/>
      <c r="D59" s="522"/>
      <c r="E59" s="522"/>
      <c r="F59" s="522"/>
      <c r="G59" s="522"/>
      <c r="H59" s="522"/>
      <c r="I59" s="389"/>
      <c r="J59" s="495"/>
      <c r="K59" s="957" t="s">
        <v>2009</v>
      </c>
      <c r="L59" s="958"/>
      <c r="M59" s="959"/>
      <c r="N59" s="960" t="s">
        <v>2126</v>
      </c>
      <c r="O59" s="959"/>
      <c r="P59" s="496"/>
      <c r="Q59" s="496"/>
      <c r="R59" s="496"/>
      <c r="S59" s="496"/>
      <c r="T59" s="496"/>
      <c r="U59" s="521"/>
    </row>
    <row r="60" spans="2:30" ht="14.25" customHeight="1" x14ac:dyDescent="0.25">
      <c r="B60" s="522"/>
      <c r="C60" s="522"/>
      <c r="D60" s="522"/>
      <c r="E60" s="522"/>
      <c r="F60" s="522"/>
      <c r="G60" s="522"/>
      <c r="H60" s="522"/>
      <c r="I60" s="389"/>
      <c r="J60" s="495"/>
      <c r="K60" s="957" t="s">
        <v>2010</v>
      </c>
      <c r="L60" s="958"/>
      <c r="M60" s="959"/>
      <c r="N60" s="960" t="s">
        <v>2125</v>
      </c>
      <c r="O60" s="959"/>
      <c r="P60" s="496"/>
      <c r="Q60" s="496"/>
      <c r="R60" s="496"/>
      <c r="S60" s="496"/>
      <c r="T60" s="496"/>
      <c r="U60" s="521"/>
    </row>
    <row r="61" spans="2:30" ht="14.25" customHeight="1" x14ac:dyDescent="0.25">
      <c r="B61" s="522"/>
      <c r="C61" s="522"/>
      <c r="D61" s="522"/>
      <c r="E61" s="522"/>
      <c r="F61" s="522"/>
      <c r="G61" s="522"/>
      <c r="H61" s="522"/>
      <c r="I61" s="389"/>
      <c r="J61" s="495"/>
      <c r="K61" s="1010" t="s">
        <v>2011</v>
      </c>
      <c r="L61" s="1010"/>
      <c r="M61" s="1010"/>
      <c r="N61" s="961" t="s">
        <v>2029</v>
      </c>
      <c r="O61" s="962"/>
      <c r="P61" s="496"/>
      <c r="Q61" s="496"/>
      <c r="R61" s="496"/>
      <c r="S61" s="496"/>
      <c r="T61" s="496"/>
      <c r="U61" s="521"/>
    </row>
    <row r="62" spans="2:30" x14ac:dyDescent="0.25">
      <c r="B62" s="522"/>
      <c r="C62" s="522"/>
      <c r="D62" s="522"/>
      <c r="E62" s="522"/>
      <c r="F62" s="522"/>
      <c r="G62" s="522"/>
      <c r="H62" s="522"/>
      <c r="I62" s="389"/>
      <c r="J62" s="492"/>
      <c r="K62" s="493"/>
      <c r="L62" s="493"/>
      <c r="M62" s="493"/>
      <c r="N62" s="493"/>
      <c r="O62" s="493"/>
      <c r="P62" s="493"/>
      <c r="Q62" s="493"/>
      <c r="R62" s="493"/>
      <c r="S62" s="493"/>
      <c r="T62" s="493"/>
      <c r="U62" s="494"/>
    </row>
    <row r="63" spans="2:30" x14ac:dyDescent="0.25">
      <c r="B63" s="522"/>
      <c r="C63" s="522"/>
      <c r="D63" s="522"/>
      <c r="E63" s="522"/>
      <c r="F63" s="522"/>
      <c r="G63" s="522"/>
      <c r="H63" s="522"/>
      <c r="I63" s="389"/>
      <c r="J63" s="988" t="s">
        <v>1601</v>
      </c>
      <c r="K63" s="986"/>
      <c r="L63" s="986"/>
      <c r="M63" s="986"/>
      <c r="N63" s="986"/>
      <c r="O63" s="986"/>
      <c r="P63" s="986"/>
      <c r="Q63" s="986"/>
      <c r="R63" s="986"/>
      <c r="S63" s="986"/>
      <c r="T63" s="986"/>
      <c r="U63" s="987"/>
    </row>
    <row r="64" spans="2:30" x14ac:dyDescent="0.25">
      <c r="B64" s="522"/>
      <c r="C64" s="522"/>
      <c r="D64" s="522"/>
      <c r="E64" s="522"/>
      <c r="F64" s="522"/>
      <c r="G64" s="522"/>
      <c r="H64" s="522"/>
      <c r="I64" s="389"/>
      <c r="J64" s="988"/>
      <c r="K64" s="986"/>
      <c r="L64" s="986"/>
      <c r="M64" s="986"/>
      <c r="N64" s="986"/>
      <c r="O64" s="986"/>
      <c r="P64" s="986"/>
      <c r="Q64" s="986"/>
      <c r="R64" s="986"/>
      <c r="S64" s="986"/>
      <c r="T64" s="986"/>
      <c r="U64" s="987"/>
    </row>
    <row r="65" spans="2:21" x14ac:dyDescent="0.25">
      <c r="B65" s="522"/>
      <c r="C65" s="522"/>
      <c r="D65" s="522"/>
      <c r="E65" s="522"/>
      <c r="F65" s="522"/>
      <c r="G65" s="522"/>
      <c r="H65" s="522"/>
      <c r="I65" s="389"/>
      <c r="J65" s="988"/>
      <c r="K65" s="986"/>
      <c r="L65" s="986"/>
      <c r="M65" s="986"/>
      <c r="N65" s="986"/>
      <c r="O65" s="986"/>
      <c r="P65" s="986"/>
      <c r="Q65" s="986"/>
      <c r="R65" s="986"/>
      <c r="S65" s="986"/>
      <c r="T65" s="986"/>
      <c r="U65" s="987"/>
    </row>
    <row r="66" spans="2:21" ht="15" x14ac:dyDescent="0.25">
      <c r="J66" s="943" t="s">
        <v>1604</v>
      </c>
      <c r="K66" s="944"/>
      <c r="L66" s="944"/>
      <c r="M66" s="944"/>
      <c r="N66" s="944"/>
      <c r="O66" s="944"/>
      <c r="P66" s="944"/>
      <c r="Q66" s="944"/>
      <c r="R66" s="944"/>
      <c r="S66" s="944"/>
      <c r="T66" s="944"/>
      <c r="U66" s="981"/>
    </row>
    <row r="67" spans="2:21" ht="14.25" customHeight="1" x14ac:dyDescent="0.25">
      <c r="J67" s="943" t="s">
        <v>1607</v>
      </c>
      <c r="K67" s="944"/>
      <c r="L67" s="944"/>
      <c r="M67" s="944"/>
      <c r="N67" s="944"/>
      <c r="O67" s="944"/>
      <c r="P67" s="944"/>
      <c r="Q67" s="944"/>
      <c r="R67" s="944"/>
      <c r="S67" s="944"/>
      <c r="T67" s="944"/>
      <c r="U67" s="981"/>
    </row>
    <row r="68" spans="2:21" x14ac:dyDescent="0.25">
      <c r="J68" s="492"/>
      <c r="K68" s="493"/>
      <c r="L68" s="493"/>
      <c r="M68" s="493"/>
      <c r="N68" s="493"/>
      <c r="O68" s="493"/>
      <c r="P68" s="493"/>
      <c r="Q68" s="493"/>
      <c r="R68" s="493"/>
      <c r="S68" s="493"/>
      <c r="T68" s="493"/>
      <c r="U68" s="494"/>
    </row>
    <row r="69" spans="2:21" ht="14.25" customHeight="1" x14ac:dyDescent="0.25">
      <c r="J69" s="988" t="s">
        <v>1602</v>
      </c>
      <c r="K69" s="986"/>
      <c r="L69" s="986"/>
      <c r="M69" s="986"/>
      <c r="N69" s="986"/>
      <c r="O69" s="986"/>
      <c r="P69" s="986"/>
      <c r="Q69" s="986"/>
      <c r="R69" s="986"/>
      <c r="S69" s="986"/>
      <c r="T69" s="986"/>
      <c r="U69" s="987"/>
    </row>
    <row r="70" spans="2:21" x14ac:dyDescent="0.25">
      <c r="J70" s="988"/>
      <c r="K70" s="986"/>
      <c r="L70" s="986"/>
      <c r="M70" s="986"/>
      <c r="N70" s="986"/>
      <c r="O70" s="986"/>
      <c r="P70" s="986"/>
      <c r="Q70" s="986"/>
      <c r="R70" s="986"/>
      <c r="S70" s="986"/>
      <c r="T70" s="986"/>
      <c r="U70" s="987"/>
    </row>
    <row r="71" spans="2:21" ht="14.25" customHeight="1" x14ac:dyDescent="0.25">
      <c r="B71" s="523"/>
      <c r="C71" s="523"/>
      <c r="D71" s="523"/>
      <c r="E71" s="523"/>
      <c r="F71" s="523"/>
      <c r="G71" s="523"/>
      <c r="H71" s="523"/>
      <c r="I71" s="523"/>
      <c r="J71" s="988" t="s">
        <v>1603</v>
      </c>
      <c r="K71" s="986"/>
      <c r="L71" s="986"/>
      <c r="M71" s="986"/>
      <c r="N71" s="986"/>
      <c r="O71" s="986"/>
      <c r="P71" s="986"/>
      <c r="Q71" s="986"/>
      <c r="R71" s="986"/>
      <c r="S71" s="986"/>
      <c r="T71" s="986"/>
      <c r="U71" s="987"/>
    </row>
    <row r="72" spans="2:21" x14ac:dyDescent="0.25">
      <c r="B72" s="389"/>
      <c r="C72" s="389"/>
      <c r="D72" s="389"/>
      <c r="E72" s="389"/>
      <c r="F72" s="389"/>
      <c r="G72" s="389"/>
      <c r="H72" s="389"/>
      <c r="I72" s="389"/>
      <c r="J72" s="492"/>
      <c r="K72" s="493"/>
      <c r="L72" s="493"/>
      <c r="M72" s="493"/>
      <c r="N72" s="493"/>
      <c r="O72" s="493"/>
      <c r="P72" s="493"/>
      <c r="Q72" s="493"/>
      <c r="R72" s="493"/>
      <c r="S72" s="493"/>
      <c r="T72" s="493"/>
      <c r="U72" s="494"/>
    </row>
    <row r="73" spans="2:21" x14ac:dyDescent="0.25">
      <c r="B73" s="522"/>
      <c r="C73" s="522"/>
      <c r="D73" s="522"/>
      <c r="E73" s="522"/>
      <c r="F73" s="522"/>
      <c r="G73" s="522"/>
      <c r="H73" s="522"/>
      <c r="I73" s="389"/>
      <c r="J73" s="988" t="s">
        <v>1605</v>
      </c>
      <c r="K73" s="986"/>
      <c r="L73" s="986"/>
      <c r="M73" s="986"/>
      <c r="N73" s="986"/>
      <c r="O73" s="986"/>
      <c r="P73" s="986"/>
      <c r="Q73" s="986"/>
      <c r="R73" s="986"/>
      <c r="S73" s="986"/>
      <c r="T73" s="986"/>
      <c r="U73" s="987"/>
    </row>
    <row r="74" spans="2:21" ht="14.25" customHeight="1" x14ac:dyDescent="0.25">
      <c r="B74" s="522"/>
      <c r="C74" s="522"/>
      <c r="D74" s="522"/>
      <c r="E74" s="522"/>
      <c r="F74" s="522"/>
      <c r="G74" s="522"/>
      <c r="H74" s="522"/>
      <c r="I74" s="389"/>
      <c r="J74" s="988"/>
      <c r="K74" s="986"/>
      <c r="L74" s="986"/>
      <c r="M74" s="986"/>
      <c r="N74" s="986"/>
      <c r="O74" s="986"/>
      <c r="P74" s="986"/>
      <c r="Q74" s="986"/>
      <c r="R74" s="986"/>
      <c r="S74" s="986"/>
      <c r="T74" s="986"/>
      <c r="U74" s="987"/>
    </row>
    <row r="75" spans="2:21" x14ac:dyDescent="0.25">
      <c r="B75" s="522"/>
      <c r="C75" s="522"/>
      <c r="D75" s="522"/>
      <c r="E75" s="522"/>
      <c r="F75" s="522"/>
      <c r="G75" s="522"/>
      <c r="H75" s="522"/>
      <c r="I75" s="389"/>
      <c r="J75" s="988" t="s">
        <v>1606</v>
      </c>
      <c r="K75" s="986"/>
      <c r="L75" s="986"/>
      <c r="M75" s="986"/>
      <c r="N75" s="986"/>
      <c r="O75" s="986"/>
      <c r="P75" s="986"/>
      <c r="Q75" s="986"/>
      <c r="R75" s="986"/>
      <c r="S75" s="986"/>
      <c r="T75" s="986"/>
      <c r="U75" s="987"/>
    </row>
    <row r="76" spans="2:21" ht="14.25" customHeight="1" x14ac:dyDescent="0.25">
      <c r="J76" s="943" t="s">
        <v>1608</v>
      </c>
      <c r="K76" s="944"/>
      <c r="L76" s="944"/>
      <c r="M76" s="944"/>
      <c r="N76" s="944"/>
      <c r="O76" s="944"/>
      <c r="P76" s="944"/>
      <c r="Q76" s="944"/>
      <c r="R76" s="944"/>
      <c r="S76" s="944"/>
      <c r="T76" s="944"/>
      <c r="U76" s="981"/>
    </row>
    <row r="77" spans="2:21" ht="14.25" customHeight="1" x14ac:dyDescent="0.25">
      <c r="J77" s="492"/>
      <c r="K77" s="493"/>
      <c r="L77" s="493"/>
      <c r="M77" s="493"/>
      <c r="N77" s="493"/>
      <c r="O77" s="493"/>
      <c r="P77" s="493"/>
      <c r="Q77" s="493"/>
      <c r="R77" s="493"/>
      <c r="S77" s="493"/>
      <c r="T77" s="493"/>
      <c r="U77" s="494"/>
    </row>
    <row r="78" spans="2:21" ht="14.25" customHeight="1" x14ac:dyDescent="0.25">
      <c r="J78" s="1030" t="s">
        <v>1609</v>
      </c>
      <c r="K78" s="1031"/>
      <c r="L78" s="1031"/>
      <c r="M78" s="1031"/>
      <c r="N78" s="1031"/>
      <c r="O78" s="1031"/>
      <c r="P78" s="1031"/>
      <c r="Q78" s="1031"/>
      <c r="R78" s="1031"/>
      <c r="S78" s="1031"/>
      <c r="T78" s="1031"/>
      <c r="U78" s="1032"/>
    </row>
    <row r="79" spans="2:21" ht="14.25" customHeight="1" x14ac:dyDescent="0.25">
      <c r="J79" s="1030"/>
      <c r="K79" s="1031"/>
      <c r="L79" s="1031"/>
      <c r="M79" s="1031"/>
      <c r="N79" s="1031"/>
      <c r="O79" s="1031"/>
      <c r="P79" s="1031"/>
      <c r="Q79" s="1031"/>
      <c r="R79" s="1031"/>
      <c r="S79" s="1031"/>
      <c r="T79" s="1031"/>
      <c r="U79" s="1032"/>
    </row>
    <row r="80" spans="2:21" ht="14.25" customHeight="1" x14ac:dyDescent="0.25">
      <c r="J80" s="1030"/>
      <c r="K80" s="1031"/>
      <c r="L80" s="1031"/>
      <c r="M80" s="1031"/>
      <c r="N80" s="1031"/>
      <c r="O80" s="1031"/>
      <c r="P80" s="1031"/>
      <c r="Q80" s="1031"/>
      <c r="R80" s="1031"/>
      <c r="S80" s="1031"/>
      <c r="T80" s="1031"/>
      <c r="U80" s="1032"/>
    </row>
    <row r="81" spans="2:21" x14ac:dyDescent="0.25">
      <c r="J81" s="988" t="s">
        <v>2027</v>
      </c>
      <c r="K81" s="986"/>
      <c r="L81" s="986"/>
      <c r="M81" s="986"/>
      <c r="N81" s="986"/>
      <c r="O81" s="986"/>
      <c r="P81" s="986"/>
      <c r="Q81" s="986"/>
      <c r="R81" s="986"/>
      <c r="S81" s="986"/>
      <c r="T81" s="986"/>
      <c r="U81" s="987"/>
    </row>
    <row r="82" spans="2:21" ht="15" x14ac:dyDescent="0.25">
      <c r="J82" s="943" t="s">
        <v>1610</v>
      </c>
      <c r="K82" s="944"/>
      <c r="L82" s="944"/>
      <c r="M82" s="944"/>
      <c r="N82" s="944"/>
      <c r="O82" s="944"/>
      <c r="P82" s="944"/>
      <c r="Q82" s="944"/>
      <c r="R82" s="944"/>
      <c r="S82" s="944"/>
      <c r="T82" s="944"/>
      <c r="U82" s="981"/>
    </row>
    <row r="83" spans="2:21" ht="15" x14ac:dyDescent="0.25">
      <c r="J83" s="943" t="s">
        <v>2026</v>
      </c>
      <c r="K83" s="944"/>
      <c r="L83" s="944"/>
      <c r="M83" s="944"/>
      <c r="N83" s="944"/>
      <c r="O83" s="944"/>
      <c r="P83" s="944"/>
      <c r="Q83" s="944"/>
      <c r="R83" s="944"/>
      <c r="S83" s="944"/>
      <c r="T83" s="944"/>
      <c r="U83" s="981"/>
    </row>
    <row r="84" spans="2:21" x14ac:dyDescent="0.25">
      <c r="J84" s="988" t="s">
        <v>1613</v>
      </c>
      <c r="K84" s="986"/>
      <c r="L84" s="986"/>
      <c r="M84" s="986"/>
      <c r="N84" s="986"/>
      <c r="O84" s="986"/>
      <c r="P84" s="986"/>
      <c r="Q84" s="986"/>
      <c r="R84" s="986"/>
      <c r="S84" s="986"/>
      <c r="T84" s="986"/>
      <c r="U84" s="987"/>
    </row>
    <row r="85" spans="2:21" x14ac:dyDescent="0.25">
      <c r="J85" s="492"/>
      <c r="K85" s="493"/>
      <c r="L85" s="493"/>
      <c r="M85" s="493"/>
      <c r="N85" s="493"/>
      <c r="O85" s="493"/>
      <c r="P85" s="493"/>
      <c r="Q85" s="493"/>
      <c r="R85" s="493"/>
      <c r="S85" s="493"/>
      <c r="T85" s="493"/>
      <c r="U85" s="494"/>
    </row>
    <row r="86" spans="2:21" x14ac:dyDescent="0.25">
      <c r="J86" s="988" t="s">
        <v>1614</v>
      </c>
      <c r="K86" s="986"/>
      <c r="L86" s="986"/>
      <c r="M86" s="986"/>
      <c r="N86" s="986"/>
      <c r="O86" s="986"/>
      <c r="P86" s="986"/>
      <c r="Q86" s="986"/>
      <c r="R86" s="986"/>
      <c r="S86" s="986"/>
      <c r="T86" s="986"/>
      <c r="U86" s="987"/>
    </row>
    <row r="87" spans="2:21" x14ac:dyDescent="0.25">
      <c r="J87" s="988"/>
      <c r="K87" s="986"/>
      <c r="L87" s="986"/>
      <c r="M87" s="986"/>
      <c r="N87" s="986"/>
      <c r="O87" s="986"/>
      <c r="P87" s="986"/>
      <c r="Q87" s="986"/>
      <c r="R87" s="986"/>
      <c r="S87" s="986"/>
      <c r="T87" s="986"/>
      <c r="U87" s="987"/>
    </row>
    <row r="88" spans="2:21" x14ac:dyDescent="0.25">
      <c r="J88" s="988" t="s">
        <v>1611</v>
      </c>
      <c r="K88" s="986"/>
      <c r="L88" s="986"/>
      <c r="M88" s="986"/>
      <c r="N88" s="986"/>
      <c r="O88" s="986"/>
      <c r="P88" s="986"/>
      <c r="Q88" s="986"/>
      <c r="R88" s="986"/>
      <c r="S88" s="986"/>
      <c r="T88" s="986"/>
      <c r="U88" s="987"/>
    </row>
    <row r="89" spans="2:21" ht="15" thickBot="1" x14ac:dyDescent="0.3">
      <c r="J89" s="989" t="s">
        <v>1612</v>
      </c>
      <c r="K89" s="990"/>
      <c r="L89" s="990"/>
      <c r="M89" s="990"/>
      <c r="N89" s="990"/>
      <c r="O89" s="990"/>
      <c r="P89" s="990"/>
      <c r="Q89" s="990"/>
      <c r="R89" s="990"/>
      <c r="S89" s="990"/>
      <c r="T89" s="990"/>
      <c r="U89" s="991"/>
    </row>
    <row r="90" spans="2:21" x14ac:dyDescent="0.25">
      <c r="J90" s="524"/>
      <c r="K90" s="524"/>
      <c r="L90" s="524"/>
      <c r="M90" s="524"/>
      <c r="N90" s="524"/>
      <c r="O90" s="524"/>
      <c r="P90" s="524"/>
      <c r="Q90" s="524"/>
      <c r="R90" s="524"/>
      <c r="S90" s="524"/>
      <c r="T90" s="524"/>
      <c r="U90" s="524"/>
    </row>
    <row r="91" spans="2:21" ht="15" thickBot="1" x14ac:dyDescent="0.3"/>
    <row r="92" spans="2:21" ht="14.25" customHeight="1" thickBot="1" x14ac:dyDescent="0.3">
      <c r="B92" s="945" t="s">
        <v>2109</v>
      </c>
      <c r="C92" s="946"/>
      <c r="D92" s="946"/>
      <c r="E92" s="946"/>
      <c r="F92" s="946"/>
      <c r="G92" s="946"/>
      <c r="H92" s="946"/>
      <c r="I92" s="946"/>
      <c r="J92" s="946"/>
      <c r="K92" s="946"/>
      <c r="L92" s="946"/>
      <c r="M92" s="946"/>
      <c r="N92" s="946"/>
      <c r="O92" s="946"/>
      <c r="P92" s="946"/>
      <c r="Q92" s="946"/>
      <c r="R92" s="946"/>
      <c r="S92" s="946"/>
      <c r="T92" s="946"/>
      <c r="U92" s="947"/>
    </row>
    <row r="93" spans="2:21" ht="16.5" thickBot="1" x14ac:dyDescent="0.3">
      <c r="B93" s="948" t="s">
        <v>1615</v>
      </c>
      <c r="C93" s="949"/>
      <c r="D93" s="949"/>
      <c r="E93" s="949"/>
      <c r="F93" s="949"/>
      <c r="G93" s="949"/>
      <c r="H93" s="949"/>
      <c r="I93" s="949"/>
      <c r="J93" s="949"/>
      <c r="K93" s="949"/>
      <c r="L93" s="949"/>
      <c r="M93" s="949"/>
      <c r="N93" s="949"/>
      <c r="O93" s="949"/>
      <c r="P93" s="949"/>
      <c r="Q93" s="949"/>
      <c r="R93" s="949"/>
      <c r="S93" s="949"/>
      <c r="T93" s="949"/>
      <c r="U93" s="950"/>
    </row>
    <row r="94" spans="2:21" x14ac:dyDescent="0.25">
      <c r="B94" s="951" t="s">
        <v>2124</v>
      </c>
      <c r="C94" s="952"/>
      <c r="D94" s="952"/>
      <c r="E94" s="952"/>
      <c r="F94" s="952"/>
      <c r="G94" s="952"/>
      <c r="H94" s="952"/>
      <c r="I94" s="953"/>
      <c r="J94" s="984" t="s">
        <v>2030</v>
      </c>
      <c r="K94" s="984"/>
      <c r="L94" s="984"/>
      <c r="M94" s="984"/>
      <c r="N94" s="984"/>
      <c r="O94" s="984"/>
      <c r="P94" s="984"/>
      <c r="Q94" s="984"/>
      <c r="R94" s="984"/>
      <c r="S94" s="984"/>
      <c r="T94" s="984"/>
      <c r="U94" s="985"/>
    </row>
    <row r="95" spans="2:21" ht="15" thickBot="1" x14ac:dyDescent="0.3">
      <c r="B95" s="954"/>
      <c r="C95" s="955"/>
      <c r="D95" s="955"/>
      <c r="E95" s="955"/>
      <c r="F95" s="955"/>
      <c r="G95" s="955"/>
      <c r="H95" s="955"/>
      <c r="I95" s="956"/>
      <c r="J95" s="986"/>
      <c r="K95" s="986"/>
      <c r="L95" s="986"/>
      <c r="M95" s="986"/>
      <c r="N95" s="986"/>
      <c r="O95" s="986"/>
      <c r="P95" s="986"/>
      <c r="Q95" s="986"/>
      <c r="R95" s="986"/>
      <c r="S95" s="986"/>
      <c r="T95" s="986"/>
      <c r="U95" s="987"/>
    </row>
    <row r="96" spans="2:21" ht="14.25" customHeight="1" x14ac:dyDescent="0.25">
      <c r="J96" s="988"/>
      <c r="K96" s="986"/>
      <c r="L96" s="986"/>
      <c r="M96" s="986"/>
      <c r="N96" s="986"/>
      <c r="O96" s="986"/>
      <c r="P96" s="986"/>
      <c r="Q96" s="986"/>
      <c r="R96" s="986"/>
      <c r="S96" s="986"/>
      <c r="T96" s="986"/>
      <c r="U96" s="987"/>
    </row>
    <row r="97" spans="2:21" x14ac:dyDescent="0.25">
      <c r="J97" s="525"/>
      <c r="K97" s="518"/>
      <c r="L97" s="518"/>
      <c r="M97" s="518"/>
      <c r="N97" s="518"/>
      <c r="O97" s="518"/>
      <c r="P97" s="518"/>
      <c r="Q97" s="518"/>
      <c r="R97" s="518"/>
      <c r="S97" s="518"/>
      <c r="T97" s="518"/>
      <c r="U97" s="519"/>
    </row>
    <row r="98" spans="2:21" x14ac:dyDescent="0.25">
      <c r="J98" s="988" t="s">
        <v>2105</v>
      </c>
      <c r="K98" s="986"/>
      <c r="L98" s="986"/>
      <c r="M98" s="986"/>
      <c r="N98" s="986"/>
      <c r="O98" s="986"/>
      <c r="P98" s="986"/>
      <c r="Q98" s="986"/>
      <c r="R98" s="986"/>
      <c r="S98" s="986"/>
      <c r="T98" s="986"/>
      <c r="U98" s="987"/>
    </row>
    <row r="99" spans="2:21" x14ac:dyDescent="0.25">
      <c r="J99" s="988"/>
      <c r="K99" s="986"/>
      <c r="L99" s="986"/>
      <c r="M99" s="986"/>
      <c r="N99" s="986"/>
      <c r="O99" s="986"/>
      <c r="P99" s="986"/>
      <c r="Q99" s="986"/>
      <c r="R99" s="986"/>
      <c r="S99" s="986"/>
      <c r="T99" s="986"/>
      <c r="U99" s="987"/>
    </row>
    <row r="100" spans="2:21" ht="14.25" customHeight="1" x14ac:dyDescent="0.25">
      <c r="J100" s="495"/>
      <c r="K100" s="496"/>
      <c r="L100" s="496"/>
      <c r="M100" s="496"/>
      <c r="N100" s="496"/>
      <c r="O100" s="496"/>
      <c r="P100" s="496"/>
      <c r="Q100" s="496"/>
      <c r="R100" s="496"/>
      <c r="S100" s="496"/>
      <c r="T100" s="496"/>
      <c r="U100" s="521"/>
    </row>
    <row r="101" spans="2:21" x14ac:dyDescent="0.25">
      <c r="J101" s="943" t="s">
        <v>2034</v>
      </c>
      <c r="K101" s="944"/>
      <c r="L101" s="944"/>
      <c r="M101" s="944"/>
      <c r="N101" s="944"/>
      <c r="O101" s="944"/>
      <c r="P101" s="944"/>
      <c r="Q101" s="944"/>
      <c r="R101" s="944"/>
      <c r="S101" s="944"/>
      <c r="T101" s="944"/>
      <c r="U101" s="981"/>
    </row>
    <row r="102" spans="2:21" ht="14.25" customHeight="1" x14ac:dyDescent="0.25">
      <c r="J102" s="492"/>
      <c r="K102" s="526" t="s">
        <v>2035</v>
      </c>
      <c r="L102" s="526"/>
      <c r="M102" s="526"/>
      <c r="N102" s="526"/>
      <c r="O102" s="493"/>
      <c r="P102" s="493"/>
      <c r="Q102" s="493"/>
      <c r="R102" s="503" t="s">
        <v>2036</v>
      </c>
      <c r="S102" s="493"/>
      <c r="T102" s="493"/>
      <c r="U102" s="494"/>
    </row>
    <row r="103" spans="2:21" x14ac:dyDescent="0.25">
      <c r="J103" s="492"/>
      <c r="K103" s="526" t="s">
        <v>2028</v>
      </c>
      <c r="L103" s="526"/>
      <c r="M103" s="526"/>
      <c r="N103" s="526"/>
      <c r="O103" s="493"/>
      <c r="P103" s="493"/>
      <c r="Q103" s="493"/>
      <c r="R103" s="982" t="s">
        <v>2032</v>
      </c>
      <c r="S103" s="982"/>
      <c r="T103" s="982"/>
      <c r="U103" s="1001"/>
    </row>
    <row r="104" spans="2:21" x14ac:dyDescent="0.25">
      <c r="J104" s="492"/>
      <c r="K104" s="986" t="s">
        <v>2038</v>
      </c>
      <c r="L104" s="986"/>
      <c r="M104" s="986"/>
      <c r="N104" s="986"/>
      <c r="O104" s="986"/>
      <c r="P104" s="986"/>
      <c r="Q104" s="493"/>
      <c r="R104" s="982" t="s">
        <v>2037</v>
      </c>
      <c r="S104" s="982"/>
      <c r="T104" s="493"/>
      <c r="U104" s="494"/>
    </row>
    <row r="105" spans="2:21" x14ac:dyDescent="0.25">
      <c r="J105" s="492"/>
      <c r="K105" s="986"/>
      <c r="L105" s="986"/>
      <c r="M105" s="986"/>
      <c r="N105" s="986"/>
      <c r="O105" s="986"/>
      <c r="P105" s="986"/>
      <c r="Q105" s="493"/>
      <c r="R105" s="982"/>
      <c r="S105" s="982"/>
      <c r="T105" s="493"/>
      <c r="U105" s="494"/>
    </row>
    <row r="106" spans="2:21" ht="15" thickBot="1" x14ac:dyDescent="0.3">
      <c r="J106" s="527"/>
      <c r="K106" s="990"/>
      <c r="L106" s="990"/>
      <c r="M106" s="990"/>
      <c r="N106" s="990"/>
      <c r="O106" s="990"/>
      <c r="P106" s="990"/>
      <c r="Q106" s="510"/>
      <c r="R106" s="983"/>
      <c r="S106" s="983"/>
      <c r="T106" s="510"/>
      <c r="U106" s="513"/>
    </row>
    <row r="108" spans="2:21" ht="15" thickBot="1" x14ac:dyDescent="0.3"/>
    <row r="109" spans="2:21" ht="18.75" thickBot="1" x14ac:dyDescent="0.3">
      <c r="B109" s="933" t="s">
        <v>2110</v>
      </c>
      <c r="C109" s="934"/>
      <c r="D109" s="934"/>
      <c r="E109" s="934"/>
      <c r="F109" s="934"/>
      <c r="G109" s="934"/>
      <c r="H109" s="934"/>
      <c r="I109" s="934"/>
      <c r="J109" s="934"/>
      <c r="K109" s="934"/>
      <c r="L109" s="934"/>
      <c r="M109" s="934"/>
      <c r="N109" s="934"/>
      <c r="O109" s="934"/>
      <c r="P109" s="934"/>
      <c r="Q109" s="934"/>
      <c r="R109" s="934"/>
      <c r="S109" s="934"/>
      <c r="T109" s="934"/>
      <c r="U109" s="935"/>
    </row>
    <row r="110" spans="2:21" ht="16.5" thickBot="1" x14ac:dyDescent="0.3">
      <c r="B110" s="1027" t="s">
        <v>2039</v>
      </c>
      <c r="C110" s="1028"/>
      <c r="D110" s="1028"/>
      <c r="E110" s="1028"/>
      <c r="F110" s="1028"/>
      <c r="G110" s="1028"/>
      <c r="H110" s="1028"/>
      <c r="I110" s="1028"/>
      <c r="J110" s="1028"/>
      <c r="K110" s="1028"/>
      <c r="L110" s="1028"/>
      <c r="M110" s="1028"/>
      <c r="N110" s="1028"/>
      <c r="O110" s="1028"/>
      <c r="P110" s="1028"/>
      <c r="Q110" s="1028"/>
      <c r="R110" s="1028"/>
      <c r="S110" s="1028"/>
      <c r="T110" s="1028"/>
      <c r="U110" s="1029"/>
    </row>
    <row r="111" spans="2:21" ht="15" customHeight="1" x14ac:dyDescent="0.25">
      <c r="B111" s="939" t="s">
        <v>2128</v>
      </c>
      <c r="C111" s="940"/>
      <c r="D111" s="940"/>
      <c r="E111" s="940"/>
      <c r="F111" s="940"/>
      <c r="G111" s="940"/>
      <c r="H111" s="940"/>
      <c r="I111" s="940"/>
      <c r="J111" s="984" t="s">
        <v>2040</v>
      </c>
      <c r="K111" s="984"/>
      <c r="L111" s="984"/>
      <c r="M111" s="984"/>
      <c r="N111" s="984"/>
      <c r="O111" s="984"/>
      <c r="P111" s="984"/>
      <c r="Q111" s="984"/>
      <c r="R111" s="984"/>
      <c r="S111" s="984"/>
      <c r="T111" s="984"/>
      <c r="U111" s="985"/>
    </row>
    <row r="112" spans="2:21" ht="15" thickBot="1" x14ac:dyDescent="0.3">
      <c r="B112" s="941"/>
      <c r="C112" s="942"/>
      <c r="D112" s="942"/>
      <c r="E112" s="942"/>
      <c r="F112" s="942"/>
      <c r="G112" s="942"/>
      <c r="H112" s="942"/>
      <c r="I112" s="942"/>
      <c r="J112" s="986"/>
      <c r="K112" s="986"/>
      <c r="L112" s="986"/>
      <c r="M112" s="986"/>
      <c r="N112" s="986"/>
      <c r="O112" s="986"/>
      <c r="P112" s="986"/>
      <c r="Q112" s="986"/>
      <c r="R112" s="986"/>
      <c r="S112" s="986"/>
      <c r="T112" s="986"/>
      <c r="U112" s="987"/>
    </row>
    <row r="113" spans="2:21" x14ac:dyDescent="0.25">
      <c r="J113" s="492"/>
      <c r="K113" s="493"/>
      <c r="L113" s="493"/>
      <c r="M113" s="493"/>
      <c r="N113" s="493"/>
      <c r="O113" s="493"/>
      <c r="P113" s="493"/>
      <c r="Q113" s="493"/>
      <c r="R113" s="493"/>
      <c r="S113" s="493"/>
      <c r="T113" s="493"/>
      <c r="U113" s="494"/>
    </row>
    <row r="114" spans="2:21" x14ac:dyDescent="0.25">
      <c r="J114" s="988" t="s">
        <v>2041</v>
      </c>
      <c r="K114" s="986"/>
      <c r="L114" s="986"/>
      <c r="M114" s="986"/>
      <c r="N114" s="986"/>
      <c r="O114" s="986"/>
      <c r="P114" s="986"/>
      <c r="Q114" s="986"/>
      <c r="R114" s="986"/>
      <c r="S114" s="986"/>
      <c r="T114" s="986"/>
      <c r="U114" s="987"/>
    </row>
    <row r="115" spans="2:21" x14ac:dyDescent="0.25">
      <c r="J115" s="988"/>
      <c r="K115" s="986"/>
      <c r="L115" s="986"/>
      <c r="M115" s="986"/>
      <c r="N115" s="986"/>
      <c r="O115" s="986"/>
      <c r="P115" s="986"/>
      <c r="Q115" s="986"/>
      <c r="R115" s="986"/>
      <c r="S115" s="986"/>
      <c r="T115" s="986"/>
      <c r="U115" s="987"/>
    </row>
    <row r="116" spans="2:21" x14ac:dyDescent="0.25">
      <c r="J116" s="492"/>
      <c r="K116" s="493"/>
      <c r="L116" s="493"/>
      <c r="M116" s="493"/>
      <c r="N116" s="493"/>
      <c r="O116" s="493"/>
      <c r="P116" s="493"/>
      <c r="Q116" s="493"/>
      <c r="R116" s="493"/>
      <c r="S116" s="493"/>
      <c r="T116" s="493"/>
      <c r="U116" s="494"/>
    </row>
    <row r="117" spans="2:21" ht="15" thickBot="1" x14ac:dyDescent="0.3">
      <c r="J117" s="998" t="s">
        <v>2042</v>
      </c>
      <c r="K117" s="999"/>
      <c r="L117" s="999"/>
      <c r="M117" s="999"/>
      <c r="N117" s="999"/>
      <c r="O117" s="999"/>
      <c r="P117" s="999"/>
      <c r="Q117" s="999"/>
      <c r="R117" s="999"/>
      <c r="S117" s="999"/>
      <c r="T117" s="999"/>
      <c r="U117" s="1000"/>
    </row>
    <row r="119" spans="2:21" ht="15" thickBot="1" x14ac:dyDescent="0.3"/>
    <row r="120" spans="2:21" ht="14.25" customHeight="1" thickBot="1" x14ac:dyDescent="0.3">
      <c r="B120" s="933" t="s">
        <v>2111</v>
      </c>
      <c r="C120" s="934"/>
      <c r="D120" s="934"/>
      <c r="E120" s="934"/>
      <c r="F120" s="934"/>
      <c r="G120" s="934"/>
      <c r="H120" s="934"/>
      <c r="I120" s="934"/>
      <c r="J120" s="934"/>
      <c r="K120" s="934"/>
      <c r="L120" s="934"/>
      <c r="M120" s="934"/>
      <c r="N120" s="934"/>
      <c r="O120" s="934"/>
      <c r="P120" s="934"/>
      <c r="Q120" s="934"/>
      <c r="R120" s="934"/>
      <c r="S120" s="934"/>
      <c r="T120" s="934"/>
      <c r="U120" s="935"/>
    </row>
    <row r="121" spans="2:21" ht="16.5" thickBot="1" x14ac:dyDescent="0.3">
      <c r="B121" s="936" t="s">
        <v>1588</v>
      </c>
      <c r="C121" s="937"/>
      <c r="D121" s="937"/>
      <c r="E121" s="937"/>
      <c r="F121" s="937"/>
      <c r="G121" s="937"/>
      <c r="H121" s="937"/>
      <c r="I121" s="937"/>
      <c r="J121" s="937"/>
      <c r="K121" s="937"/>
      <c r="L121" s="937"/>
      <c r="M121" s="937"/>
      <c r="N121" s="937"/>
      <c r="O121" s="937"/>
      <c r="P121" s="937"/>
      <c r="Q121" s="937"/>
      <c r="R121" s="937"/>
      <c r="S121" s="937"/>
      <c r="T121" s="937"/>
      <c r="U121" s="938"/>
    </row>
    <row r="122" spans="2:21" x14ac:dyDescent="0.25">
      <c r="B122" s="939" t="s">
        <v>2129</v>
      </c>
      <c r="C122" s="940"/>
      <c r="D122" s="940"/>
      <c r="E122" s="940"/>
      <c r="F122" s="940"/>
      <c r="G122" s="940"/>
      <c r="H122" s="940"/>
      <c r="I122" s="940"/>
      <c r="J122" s="984" t="s">
        <v>2106</v>
      </c>
      <c r="K122" s="984"/>
      <c r="L122" s="984"/>
      <c r="M122" s="984"/>
      <c r="N122" s="984"/>
      <c r="O122" s="984"/>
      <c r="P122" s="984"/>
      <c r="Q122" s="984"/>
      <c r="R122" s="984"/>
      <c r="S122" s="984"/>
      <c r="T122" s="984"/>
      <c r="U122" s="985"/>
    </row>
    <row r="123" spans="2:21" ht="15" thickBot="1" x14ac:dyDescent="0.3">
      <c r="B123" s="941"/>
      <c r="C123" s="942"/>
      <c r="D123" s="942"/>
      <c r="E123" s="942"/>
      <c r="F123" s="942"/>
      <c r="G123" s="942"/>
      <c r="H123" s="942"/>
      <c r="I123" s="942"/>
      <c r="J123" s="986"/>
      <c r="K123" s="986"/>
      <c r="L123" s="986"/>
      <c r="M123" s="986"/>
      <c r="N123" s="986"/>
      <c r="O123" s="986"/>
      <c r="P123" s="986"/>
      <c r="Q123" s="986"/>
      <c r="R123" s="986"/>
      <c r="S123" s="986"/>
      <c r="T123" s="986"/>
      <c r="U123" s="987"/>
    </row>
    <row r="124" spans="2:21" x14ac:dyDescent="0.25">
      <c r="J124" s="988"/>
      <c r="K124" s="986"/>
      <c r="L124" s="986"/>
      <c r="M124" s="986"/>
      <c r="N124" s="986"/>
      <c r="O124" s="986"/>
      <c r="P124" s="986"/>
      <c r="Q124" s="986"/>
      <c r="R124" s="986"/>
      <c r="S124" s="986"/>
      <c r="T124" s="986"/>
      <c r="U124" s="987"/>
    </row>
    <row r="125" spans="2:21" ht="15" thickBot="1" x14ac:dyDescent="0.3">
      <c r="J125" s="989"/>
      <c r="K125" s="990"/>
      <c r="L125" s="990"/>
      <c r="M125" s="990"/>
      <c r="N125" s="990"/>
      <c r="O125" s="990"/>
      <c r="P125" s="990"/>
      <c r="Q125" s="990"/>
      <c r="R125" s="990"/>
      <c r="S125" s="990"/>
      <c r="T125" s="990"/>
      <c r="U125" s="991"/>
    </row>
  </sheetData>
  <sheetProtection password="8719" sheet="1" objects="1" scenarios="1" formatCells="0" formatRows="0" insertColumns="0" insertRows="0"/>
  <mergeCells count="97">
    <mergeCell ref="B110:U110"/>
    <mergeCell ref="B111:I111"/>
    <mergeCell ref="B112:I112"/>
    <mergeCell ref="O25:Q25"/>
    <mergeCell ref="J98:U99"/>
    <mergeCell ref="J86:U87"/>
    <mergeCell ref="J88:U88"/>
    <mergeCell ref="J89:U89"/>
    <mergeCell ref="J83:U83"/>
    <mergeCell ref="J76:U76"/>
    <mergeCell ref="J78:U80"/>
    <mergeCell ref="J81:U81"/>
    <mergeCell ref="J82:U82"/>
    <mergeCell ref="J84:U84"/>
    <mergeCell ref="J75:U75"/>
    <mergeCell ref="J47:U49"/>
    <mergeCell ref="B33:I42"/>
    <mergeCell ref="B53:I53"/>
    <mergeCell ref="B54:I54"/>
    <mergeCell ref="B55:I55"/>
    <mergeCell ref="B56:I56"/>
    <mergeCell ref="B48:I48"/>
    <mergeCell ref="B49:I49"/>
    <mergeCell ref="B51:I51"/>
    <mergeCell ref="B50:I50"/>
    <mergeCell ref="J71:U71"/>
    <mergeCell ref="J33:U35"/>
    <mergeCell ref="J37:L37"/>
    <mergeCell ref="J38:U38"/>
    <mergeCell ref="J40:U40"/>
    <mergeCell ref="J41:U41"/>
    <mergeCell ref="J39:U39"/>
    <mergeCell ref="J63:U65"/>
    <mergeCell ref="J66:U66"/>
    <mergeCell ref="J67:U67"/>
    <mergeCell ref="J57:U57"/>
    <mergeCell ref="K61:M61"/>
    <mergeCell ref="J51:U52"/>
    <mergeCell ref="J42:U42"/>
    <mergeCell ref="J69:U70"/>
    <mergeCell ref="B45:U45"/>
    <mergeCell ref="R104:S106"/>
    <mergeCell ref="J122:U125"/>
    <mergeCell ref="J54:U54"/>
    <mergeCell ref="J53:U53"/>
    <mergeCell ref="B46:U46"/>
    <mergeCell ref="B47:I47"/>
    <mergeCell ref="B52:I52"/>
    <mergeCell ref="J73:U74"/>
    <mergeCell ref="J94:U96"/>
    <mergeCell ref="J111:U112"/>
    <mergeCell ref="J114:U115"/>
    <mergeCell ref="J117:U117"/>
    <mergeCell ref="J101:U101"/>
    <mergeCell ref="R103:U103"/>
    <mergeCell ref="K104:P106"/>
    <mergeCell ref="B109:U109"/>
    <mergeCell ref="B31:U31"/>
    <mergeCell ref="B32:U32"/>
    <mergeCell ref="J14:U14"/>
    <mergeCell ref="J19:U19"/>
    <mergeCell ref="K16:S17"/>
    <mergeCell ref="B15:E15"/>
    <mergeCell ref="B17:E17"/>
    <mergeCell ref="O26:Q26"/>
    <mergeCell ref="K26:M26"/>
    <mergeCell ref="O24:Q24"/>
    <mergeCell ref="B13:U13"/>
    <mergeCell ref="B19:E19"/>
    <mergeCell ref="B21:E21"/>
    <mergeCell ref="B23:E23"/>
    <mergeCell ref="B2:U3"/>
    <mergeCell ref="K20:M20"/>
    <mergeCell ref="K21:M21"/>
    <mergeCell ref="K22:M22"/>
    <mergeCell ref="O21:Q21"/>
    <mergeCell ref="O22:Q22"/>
    <mergeCell ref="O23:Q23"/>
    <mergeCell ref="B12:U12"/>
    <mergeCell ref="B5:U7"/>
    <mergeCell ref="B9:U10"/>
    <mergeCell ref="B120:U120"/>
    <mergeCell ref="B121:U121"/>
    <mergeCell ref="B122:I122"/>
    <mergeCell ref="B123:I123"/>
    <mergeCell ref="B27:E27"/>
    <mergeCell ref="B92:U92"/>
    <mergeCell ref="B93:U93"/>
    <mergeCell ref="B94:I94"/>
    <mergeCell ref="B95:I95"/>
    <mergeCell ref="K58:M58"/>
    <mergeCell ref="K59:M59"/>
    <mergeCell ref="K60:M60"/>
    <mergeCell ref="N58:O58"/>
    <mergeCell ref="N59:O59"/>
    <mergeCell ref="N60:O60"/>
    <mergeCell ref="N61:O61"/>
  </mergeCells>
  <conditionalFormatting sqref="B33:I42">
    <cfRule type="notContainsBlanks" dxfId="8" priority="10">
      <formula>LEN(TRIM(B33))&gt;0</formula>
    </cfRule>
  </conditionalFormatting>
  <conditionalFormatting sqref="B48:I48">
    <cfRule type="notContainsBlanks" dxfId="7" priority="9">
      <formula>LEN(TRIM(B48))&gt;0</formula>
    </cfRule>
  </conditionalFormatting>
  <conditionalFormatting sqref="B50:I50 B52:I52">
    <cfRule type="notContainsBlanks" dxfId="6" priority="8">
      <formula>LEN(TRIM(B50))&gt;0</formula>
    </cfRule>
  </conditionalFormatting>
  <conditionalFormatting sqref="B54:I54">
    <cfRule type="notContainsBlanks" dxfId="5" priority="7">
      <formula>LEN(TRIM(B54))&gt;0</formula>
    </cfRule>
  </conditionalFormatting>
  <conditionalFormatting sqref="B95:I95">
    <cfRule type="notContainsBlanks" dxfId="4" priority="6">
      <formula>LEN(TRIM(B95))&gt;0</formula>
    </cfRule>
  </conditionalFormatting>
  <conditionalFormatting sqref="B112:I112">
    <cfRule type="notContainsBlanks" dxfId="3" priority="5">
      <formula>LEN(TRIM(B112))&gt;0</formula>
    </cfRule>
  </conditionalFormatting>
  <conditionalFormatting sqref="B123:I123">
    <cfRule type="notContainsBlanks" dxfId="2" priority="4">
      <formula>LEN(TRIM(B123))&gt;0</formula>
    </cfRule>
  </conditionalFormatting>
  <conditionalFormatting sqref="F27">
    <cfRule type="notContainsBlanks" dxfId="1" priority="2">
      <formula>LEN(TRIM(F27))&gt;0</formula>
    </cfRule>
  </conditionalFormatting>
  <conditionalFormatting sqref="F17 F15 F19 F21 F23 F25 F27">
    <cfRule type="cellIs" dxfId="0" priority="1" operator="greaterThan">
      <formula>0</formula>
    </cfRule>
  </conditionalFormatting>
  <dataValidations count="2">
    <dataValidation type="list" allowBlank="1" showInputMessage="1" showErrorMessage="1" sqref="B48:I48">
      <formula1>sustainedhuntinglist</formula1>
    </dataValidation>
    <dataValidation type="list" allowBlank="1" showInputMessage="1" showErrorMessage="1" sqref="B50:I50 B52:I52 B112:I112 B123:I123">
      <formula1>yesno</formula1>
    </dataValidation>
  </dataValidations>
  <pageMargins left="0.7" right="0.7" top="0.75" bottom="0.75" header="0.3" footer="0.3"/>
  <pageSetup paperSize="9" orientation="portrait"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80"/>
  <sheetViews>
    <sheetView zoomScale="90" zoomScaleNormal="90" workbookViewId="0">
      <pane ySplit="2" topLeftCell="A3" activePane="bottomLeft" state="frozen"/>
      <selection pane="bottomLeft" activeCell="A3" sqref="A3"/>
    </sheetView>
  </sheetViews>
  <sheetFormatPr defaultRowHeight="12.75" x14ac:dyDescent="0.25"/>
  <cols>
    <col min="1" max="1" width="17.85546875" style="5" bestFit="1" customWidth="1"/>
    <col min="2" max="2" width="36.28515625" style="5" bestFit="1" customWidth="1"/>
    <col min="3" max="3" width="24.42578125" style="26" customWidth="1"/>
    <col min="4" max="4" width="11.7109375" style="5" customWidth="1"/>
    <col min="5" max="5" width="23.140625" style="5" customWidth="1"/>
    <col min="6" max="6" width="34.28515625" style="5" customWidth="1"/>
    <col min="7" max="7" width="20.85546875" style="5" customWidth="1"/>
    <col min="8" max="16384" width="9.140625" style="5"/>
  </cols>
  <sheetData>
    <row r="1" spans="1:64" ht="21" thickBot="1" x14ac:dyDescent="0.3">
      <c r="A1" s="1033" t="s">
        <v>178</v>
      </c>
      <c r="B1" s="1034"/>
      <c r="C1" s="1034"/>
      <c r="D1" s="1034"/>
      <c r="E1" s="1034"/>
      <c r="F1" s="1034"/>
      <c r="G1" s="1035"/>
    </row>
    <row r="2" spans="1:64" ht="18.75" customHeight="1" thickBot="1" x14ac:dyDescent="0.3">
      <c r="A2" s="445" t="s">
        <v>179</v>
      </c>
      <c r="B2" s="1" t="s">
        <v>1</v>
      </c>
      <c r="C2" s="1" t="s">
        <v>2</v>
      </c>
      <c r="D2" s="1" t="s">
        <v>3</v>
      </c>
      <c r="E2" s="446" t="s">
        <v>4</v>
      </c>
      <c r="F2" s="1" t="s">
        <v>5</v>
      </c>
      <c r="G2" s="447"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16.5" customHeight="1" x14ac:dyDescent="0.25">
      <c r="A3" s="6" t="s">
        <v>180</v>
      </c>
      <c r="B3" s="7" t="s">
        <v>181</v>
      </c>
      <c r="C3" s="6" t="s">
        <v>51</v>
      </c>
      <c r="D3" s="8">
        <f>manipulation+IF(animalken=0,-1,animalken)+animalism+IF(OR('Character Sheet'!U60=3,'Character Sheet'!U60="1 CP"),1,0)</f>
        <v>0</v>
      </c>
      <c r="E3" s="9" t="s">
        <v>21</v>
      </c>
      <c r="F3" s="7" t="s">
        <v>182</v>
      </c>
      <c r="G3" s="9" t="s">
        <v>183</v>
      </c>
      <c r="H3" s="10"/>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6.5" customHeight="1" x14ac:dyDescent="0.25">
      <c r="A4" s="11" t="s">
        <v>184</v>
      </c>
      <c r="B4" s="248" t="s">
        <v>185</v>
      </c>
      <c r="C4" s="11" t="s">
        <v>51</v>
      </c>
      <c r="D4" s="248">
        <f>presence+IF(animalken=0,-1,animalken)+animalism+IF(OR('Character Sheet'!V60=3,'Character Sheet'!V60="1 CP"),1,0)</f>
        <v>0</v>
      </c>
      <c r="E4" s="12" t="s">
        <v>21</v>
      </c>
      <c r="F4" s="248" t="s">
        <v>186</v>
      </c>
      <c r="G4" s="12" t="s">
        <v>183</v>
      </c>
      <c r="H4" s="10"/>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4" ht="16.5" customHeight="1" x14ac:dyDescent="0.25">
      <c r="A5" s="11" t="s">
        <v>187</v>
      </c>
      <c r="B5" s="248" t="s">
        <v>188</v>
      </c>
      <c r="C5" s="11" t="s">
        <v>11</v>
      </c>
      <c r="D5" s="248">
        <f>presence+IF(animalken=0,-1,animalken)+animalism+IF(OR('Character Sheet'!W60=3,'Character Sheet'!W60="1 CP"),1,0)</f>
        <v>0</v>
      </c>
      <c r="E5" s="12" t="s">
        <v>21</v>
      </c>
      <c r="F5" s="248" t="s">
        <v>12</v>
      </c>
      <c r="G5" s="12" t="s">
        <v>183</v>
      </c>
    </row>
    <row r="6" spans="1:64" ht="16.5" customHeight="1" x14ac:dyDescent="0.25">
      <c r="A6" s="11" t="s">
        <v>189</v>
      </c>
      <c r="B6" s="248" t="s">
        <v>190</v>
      </c>
      <c r="C6" s="11" t="s">
        <v>11</v>
      </c>
      <c r="D6" s="248">
        <f>manipulation+IF(animalken=0,-1,animalken)+animalism+IF(OR('Character Sheet'!X60=3,'Character Sheet'!X60="1 CP"),1,0)</f>
        <v>0</v>
      </c>
      <c r="E6" s="12" t="s">
        <v>36</v>
      </c>
      <c r="F6" s="248" t="s">
        <v>191</v>
      </c>
      <c r="G6" s="12" t="s">
        <v>183</v>
      </c>
    </row>
    <row r="7" spans="1:64" ht="16.5" customHeight="1" thickBot="1" x14ac:dyDescent="0.3">
      <c r="A7" s="437" t="s">
        <v>192</v>
      </c>
      <c r="B7" s="3" t="s">
        <v>193</v>
      </c>
      <c r="C7" s="437" t="s">
        <v>11</v>
      </c>
      <c r="D7" s="3">
        <f>manipulation+IF(empathy=0,-1,empathy)+animalism+IF(OR('Character Sheet'!Y60=3,'Character Sheet'!Y60="1 CP"),1,0)</f>
        <v>0</v>
      </c>
      <c r="E7" s="13" t="s">
        <v>194</v>
      </c>
      <c r="F7" s="3" t="s">
        <v>195</v>
      </c>
      <c r="G7" s="13" t="s">
        <v>183</v>
      </c>
    </row>
    <row r="8" spans="1:64" ht="16.5" customHeight="1" x14ac:dyDescent="0.25">
      <c r="A8" s="14" t="s">
        <v>196</v>
      </c>
      <c r="B8" s="15" t="s">
        <v>197</v>
      </c>
      <c r="C8" s="15" t="s">
        <v>51</v>
      </c>
      <c r="D8" s="16" t="s">
        <v>12</v>
      </c>
      <c r="E8" s="15" t="s">
        <v>21</v>
      </c>
      <c r="F8" s="15" t="s">
        <v>12</v>
      </c>
      <c r="G8" s="17" t="s">
        <v>183</v>
      </c>
    </row>
    <row r="9" spans="1:64" ht="16.5" customHeight="1" x14ac:dyDescent="0.25">
      <c r="A9" s="11" t="s">
        <v>198</v>
      </c>
      <c r="B9" s="248" t="s">
        <v>199</v>
      </c>
      <c r="C9" s="248" t="s">
        <v>51</v>
      </c>
      <c r="D9" s="473">
        <f>intelligence+IF(empathy=0,-1,empathy)+auspex+IF(OR('Character Sheet'!V61=3,'Character Sheet'!V61="1 CP"),1,0)</f>
        <v>0</v>
      </c>
      <c r="E9" s="248" t="s">
        <v>21</v>
      </c>
      <c r="F9" s="248" t="s">
        <v>186</v>
      </c>
      <c r="G9" s="12" t="s">
        <v>183</v>
      </c>
    </row>
    <row r="10" spans="1:64" ht="16.5" customHeight="1" x14ac:dyDescent="0.25">
      <c r="A10" s="11" t="s">
        <v>200</v>
      </c>
      <c r="B10" s="248" t="s">
        <v>2017</v>
      </c>
      <c r="C10" s="248" t="s">
        <v>51</v>
      </c>
      <c r="D10" s="473">
        <f>wits+IF(occult=0,-3,occult)+auspex+IF(OR('Character Sheet'!W61=3,'Character Sheet'!W61="1 CP"),1,0)</f>
        <v>-2</v>
      </c>
      <c r="E10" s="248" t="s">
        <v>21</v>
      </c>
      <c r="F10" s="248" t="s">
        <v>12</v>
      </c>
      <c r="G10" s="12" t="s">
        <v>183</v>
      </c>
    </row>
    <row r="11" spans="1:64" ht="16.5" customHeight="1" x14ac:dyDescent="0.25">
      <c r="A11" s="11" t="s">
        <v>201</v>
      </c>
      <c r="B11" s="248" t="s">
        <v>202</v>
      </c>
      <c r="C11" s="248" t="s">
        <v>203</v>
      </c>
      <c r="D11" s="473">
        <f>intelligence+IF(socialize=0,-1,socialize)+auspex+IF(OR('Character Sheet'!X61=3,'Character Sheet'!X61="1 CP"),1,0)</f>
        <v>0</v>
      </c>
      <c r="E11" s="248" t="s">
        <v>21</v>
      </c>
      <c r="F11" s="248" t="s">
        <v>204</v>
      </c>
      <c r="G11" s="12" t="s">
        <v>183</v>
      </c>
    </row>
    <row r="12" spans="1:64" ht="16.5" customHeight="1" thickBot="1" x14ac:dyDescent="0.3">
      <c r="A12" s="437" t="s">
        <v>205</v>
      </c>
      <c r="B12" s="3" t="s">
        <v>206</v>
      </c>
      <c r="C12" s="3" t="s">
        <v>18</v>
      </c>
      <c r="D12" s="438">
        <f>intelligence+IF(occult=0,-3,occult)+auspex+IF(OR('Character Sheet'!Y61=3,'Character Sheet'!Y61="1 CP"),1,0)</f>
        <v>-2</v>
      </c>
      <c r="E12" s="3" t="s">
        <v>21</v>
      </c>
      <c r="F12" s="3" t="s">
        <v>12</v>
      </c>
      <c r="G12" s="13" t="s">
        <v>183</v>
      </c>
    </row>
    <row r="13" spans="1:64" ht="16.5" customHeight="1" thickBot="1" x14ac:dyDescent="0.3">
      <c r="A13" s="18" t="s">
        <v>207</v>
      </c>
      <c r="B13" s="19" t="s">
        <v>208</v>
      </c>
      <c r="C13" s="19" t="s">
        <v>11</v>
      </c>
      <c r="D13" s="20" t="s">
        <v>12</v>
      </c>
      <c r="E13" s="19" t="s">
        <v>13</v>
      </c>
      <c r="F13" s="19" t="s">
        <v>12</v>
      </c>
      <c r="G13" s="21" t="s">
        <v>183</v>
      </c>
    </row>
    <row r="14" spans="1:64" ht="16.5" customHeight="1" x14ac:dyDescent="0.25">
      <c r="A14" s="14" t="s">
        <v>209</v>
      </c>
      <c r="B14" s="15" t="s">
        <v>210</v>
      </c>
      <c r="C14" s="15" t="s">
        <v>51</v>
      </c>
      <c r="D14" s="16">
        <f>intelligence+IF(intimidation=0,-1,intimidation)+dominate+IF(OR('Character Sheet'!U63=3,'Character Sheet'!U63="1 CP"),1,0)</f>
        <v>0</v>
      </c>
      <c r="E14" s="15" t="s">
        <v>36</v>
      </c>
      <c r="F14" s="15" t="s">
        <v>211</v>
      </c>
      <c r="G14" s="17" t="s">
        <v>183</v>
      </c>
    </row>
    <row r="15" spans="1:64" ht="16.5" customHeight="1" x14ac:dyDescent="0.25">
      <c r="A15" s="11" t="s">
        <v>212</v>
      </c>
      <c r="B15" s="248" t="s">
        <v>213</v>
      </c>
      <c r="C15" s="248" t="s">
        <v>51</v>
      </c>
      <c r="D15" s="473">
        <f>intelligence+IF(expression=0,-1,expression)+dominate+IF(OR('Character Sheet'!V63=3,'Character Sheet'!V63="1 CP"),1,0)</f>
        <v>0</v>
      </c>
      <c r="E15" s="248" t="s">
        <v>36</v>
      </c>
      <c r="F15" s="248" t="s">
        <v>211</v>
      </c>
      <c r="G15" s="12" t="s">
        <v>183</v>
      </c>
    </row>
    <row r="16" spans="1:64" ht="16.5" customHeight="1" x14ac:dyDescent="0.25">
      <c r="A16" s="11" t="s">
        <v>214</v>
      </c>
      <c r="B16" s="248" t="s">
        <v>215</v>
      </c>
      <c r="C16" s="248" t="s">
        <v>51</v>
      </c>
      <c r="D16" s="473">
        <f>wits+IF(persuasion=0,-1,persuasion)+dominate+IF(OR('Character Sheet'!W63=3,'Character Sheet'!W63="1 CP"),1,0)</f>
        <v>0</v>
      </c>
      <c r="E16" s="248" t="s">
        <v>46</v>
      </c>
      <c r="F16" s="248" t="s">
        <v>204</v>
      </c>
      <c r="G16" s="12" t="s">
        <v>183</v>
      </c>
    </row>
    <row r="17" spans="1:7" ht="16.5" customHeight="1" x14ac:dyDescent="0.25">
      <c r="A17" s="11" t="s">
        <v>216</v>
      </c>
      <c r="B17" s="248" t="s">
        <v>217</v>
      </c>
      <c r="C17" s="248" t="s">
        <v>218</v>
      </c>
      <c r="D17" s="473">
        <f>wits+IF(subterfuge=0,-1,subterfuge)+dominate+IF(OR('Character Sheet'!X63=3,'Character Sheet'!X63="1 CP"),1,0)</f>
        <v>0</v>
      </c>
      <c r="E17" s="248" t="s">
        <v>219</v>
      </c>
      <c r="F17" s="248" t="s">
        <v>211</v>
      </c>
      <c r="G17" s="12" t="s">
        <v>183</v>
      </c>
    </row>
    <row r="18" spans="1:7" ht="16.5" customHeight="1" thickBot="1" x14ac:dyDescent="0.3">
      <c r="A18" s="437" t="s">
        <v>220</v>
      </c>
      <c r="B18" s="3" t="s">
        <v>221</v>
      </c>
      <c r="C18" s="3" t="s">
        <v>18</v>
      </c>
      <c r="D18" s="438">
        <f>intelligence+IF(intimidation=0,-1,intimidation)+dominate+IF(OR('Character Sheet'!Y63=3,'Character Sheet'!Y63="1 CP"),1,0)</f>
        <v>0</v>
      </c>
      <c r="E18" s="3" t="s">
        <v>219</v>
      </c>
      <c r="F18" s="3" t="s">
        <v>222</v>
      </c>
      <c r="G18" s="13" t="s">
        <v>183</v>
      </c>
    </row>
    <row r="19" spans="1:7" ht="16.5" customHeight="1" x14ac:dyDescent="0.25">
      <c r="A19" s="14" t="s">
        <v>223</v>
      </c>
      <c r="B19" s="15" t="s">
        <v>224</v>
      </c>
      <c r="C19" s="15" t="s">
        <v>51</v>
      </c>
      <c r="D19" s="16">
        <f ca="1">presence+IF(expression=0,-1,expression)+majesty+IF(OR('Character Sheet'!U64=3,'Character Sheet'!U64="1 CP"),1,0)+IF('Character Sheet'!AW143&gt;0,'Character Sheet'!AW143,0)+IF('Character Sheet'!AW144&gt;0,'Character Sheet'!AW144,0)</f>
        <v>0</v>
      </c>
      <c r="E19" s="15" t="s">
        <v>21</v>
      </c>
      <c r="F19" s="15" t="s">
        <v>85</v>
      </c>
      <c r="G19" s="17" t="s">
        <v>183</v>
      </c>
    </row>
    <row r="20" spans="1:7" ht="16.5" customHeight="1" x14ac:dyDescent="0.25">
      <c r="A20" s="11" t="s">
        <v>225</v>
      </c>
      <c r="B20" s="248" t="s">
        <v>226</v>
      </c>
      <c r="C20" s="248" t="s">
        <v>11</v>
      </c>
      <c r="D20" s="473">
        <f ca="1">manipulation+IF(persuasion=0,-1,persuasion)+majesty+IF(OR('Character Sheet'!V64=3,'Character Sheet'!V64="1 CP"),1,0)+IF('Character Sheet'!AW143&gt;0,'Character Sheet'!AW143,0)+IF('Character Sheet'!AW144&gt;0,'Character Sheet'!AW144,0)</f>
        <v>0</v>
      </c>
      <c r="E20" s="248" t="s">
        <v>36</v>
      </c>
      <c r="F20" s="248" t="s">
        <v>195</v>
      </c>
      <c r="G20" s="12" t="s">
        <v>183</v>
      </c>
    </row>
    <row r="21" spans="1:7" ht="16.5" customHeight="1" x14ac:dyDescent="0.25">
      <c r="A21" s="11" t="s">
        <v>227</v>
      </c>
      <c r="B21" s="248" t="s">
        <v>228</v>
      </c>
      <c r="C21" s="248" t="s">
        <v>51</v>
      </c>
      <c r="D21" s="473">
        <f ca="1">manipulation+IF(empathy=0,-1,empathy)+majesty+IF(OR('Character Sheet'!W64=3,'Character Sheet'!W64="1 CP"),1,0)+IF('Character Sheet'!AW143&gt;0,'Character Sheet'!AW143,0)+IF('Character Sheet'!AW144&gt;0,'Character Sheet'!AW144,0)</f>
        <v>0</v>
      </c>
      <c r="E21" s="248" t="s">
        <v>36</v>
      </c>
      <c r="F21" s="248" t="s">
        <v>195</v>
      </c>
      <c r="G21" s="12" t="s">
        <v>183</v>
      </c>
    </row>
    <row r="22" spans="1:7" ht="16.5" customHeight="1" x14ac:dyDescent="0.25">
      <c r="A22" s="11" t="s">
        <v>229</v>
      </c>
      <c r="B22" s="248" t="s">
        <v>2018</v>
      </c>
      <c r="C22" s="248" t="s">
        <v>11</v>
      </c>
      <c r="D22" s="473">
        <f>manipulation+IF(persuasion=0,-1,persuasion)+majesty+IF(OR('Character Sheet'!X64=3,'Character Sheet'!X64="1 CP"),1,0)</f>
        <v>0</v>
      </c>
      <c r="E22" s="248" t="s">
        <v>21</v>
      </c>
      <c r="F22" s="248" t="s">
        <v>195</v>
      </c>
      <c r="G22" s="12" t="s">
        <v>183</v>
      </c>
    </row>
    <row r="23" spans="1:7" ht="16.5" customHeight="1" thickBot="1" x14ac:dyDescent="0.3">
      <c r="A23" s="437" t="s">
        <v>230</v>
      </c>
      <c r="B23" s="3" t="s">
        <v>231</v>
      </c>
      <c r="C23" s="3" t="s">
        <v>18</v>
      </c>
      <c r="D23" s="438">
        <f>presence+IF(intimidation=0,-1,intimidation)+majesty+IF(OR('Character Sheet'!Y64=3,'Character Sheet'!Y64="1 CP"),1,0)</f>
        <v>0</v>
      </c>
      <c r="E23" s="3" t="s">
        <v>121</v>
      </c>
      <c r="F23" s="3" t="s">
        <v>195</v>
      </c>
      <c r="G23" s="13" t="s">
        <v>183</v>
      </c>
    </row>
    <row r="24" spans="1:7" ht="16.5" customHeight="1" x14ac:dyDescent="0.25">
      <c r="A24" s="14" t="s">
        <v>232</v>
      </c>
      <c r="B24" s="15" t="s">
        <v>233</v>
      </c>
      <c r="C24" s="15" t="s">
        <v>51</v>
      </c>
      <c r="D24" s="16">
        <f>presence+IF(intimidation=0,-1,intimidation)+nightmare+IF(OR('Character Sheet'!U65=3,'Character Sheet'!U65="1 CP"),1,0)</f>
        <v>0</v>
      </c>
      <c r="E24" s="15" t="s">
        <v>36</v>
      </c>
      <c r="F24" s="15" t="s">
        <v>195</v>
      </c>
      <c r="G24" s="17" t="s">
        <v>183</v>
      </c>
    </row>
    <row r="25" spans="1:7" ht="16.5" customHeight="1" x14ac:dyDescent="0.25">
      <c r="A25" s="11" t="s">
        <v>234</v>
      </c>
      <c r="B25" s="248" t="s">
        <v>235</v>
      </c>
      <c r="C25" s="248" t="s">
        <v>11</v>
      </c>
      <c r="D25" s="473">
        <f>manipulation+IF(empathy=0,-1,empathy)+nightmare+IF(OR('Character Sheet'!V65=3,'Character Sheet'!V65="1 CP"),1,0)</f>
        <v>0</v>
      </c>
      <c r="E25" s="248" t="s">
        <v>36</v>
      </c>
      <c r="F25" s="248" t="s">
        <v>195</v>
      </c>
      <c r="G25" s="12" t="s">
        <v>183</v>
      </c>
    </row>
    <row r="26" spans="1:7" ht="16.5" customHeight="1" x14ac:dyDescent="0.25">
      <c r="A26" s="11" t="s">
        <v>236</v>
      </c>
      <c r="B26" s="248" t="s">
        <v>237</v>
      </c>
      <c r="C26" s="248" t="s">
        <v>11</v>
      </c>
      <c r="D26" s="473">
        <f>presence+IF(empathy=0,-1,empathy)+nightmare+IF(OR('Character Sheet'!W65=3,'Character Sheet'!W65="1 CP"),1,0)</f>
        <v>0</v>
      </c>
      <c r="E26" s="248" t="s">
        <v>36</v>
      </c>
      <c r="F26" s="248" t="s">
        <v>195</v>
      </c>
      <c r="G26" s="12" t="s">
        <v>183</v>
      </c>
    </row>
    <row r="27" spans="1:7" ht="16.5" customHeight="1" x14ac:dyDescent="0.25">
      <c r="A27" s="11" t="s">
        <v>238</v>
      </c>
      <c r="B27" s="248" t="s">
        <v>239</v>
      </c>
      <c r="C27" s="248" t="s">
        <v>18</v>
      </c>
      <c r="D27" s="473">
        <f>manipulation+IF(empathy=0,-1,empathy)+nightmare+IF(OR('Character Sheet'!X65=3,'Character Sheet'!X65="1 CP"),1,0)</f>
        <v>0</v>
      </c>
      <c r="E27" s="248" t="s">
        <v>36</v>
      </c>
      <c r="F27" s="248" t="s">
        <v>195</v>
      </c>
      <c r="G27" s="12" t="s">
        <v>183</v>
      </c>
    </row>
    <row r="28" spans="1:7" ht="16.5" customHeight="1" thickBot="1" x14ac:dyDescent="0.3">
      <c r="A28" s="437" t="s">
        <v>240</v>
      </c>
      <c r="B28" s="3" t="s">
        <v>241</v>
      </c>
      <c r="C28" s="3" t="s">
        <v>18</v>
      </c>
      <c r="D28" s="438">
        <f>presence+IF(intimidation=0,-1,intimidation)+nightmare+IF(OR('Character Sheet'!Y65=3,'Character Sheet'!Y65="1 CP"),1,0)</f>
        <v>0</v>
      </c>
      <c r="E28" s="3" t="s">
        <v>21</v>
      </c>
      <c r="F28" s="3" t="s">
        <v>186</v>
      </c>
      <c r="G28" s="13" t="s">
        <v>183</v>
      </c>
    </row>
    <row r="29" spans="1:7" ht="16.5" customHeight="1" x14ac:dyDescent="0.25">
      <c r="A29" s="14" t="s">
        <v>242</v>
      </c>
      <c r="B29" s="15" t="s">
        <v>243</v>
      </c>
      <c r="C29" s="15" t="s">
        <v>51</v>
      </c>
      <c r="D29" s="16">
        <f>wits+IF(larceny=0,-1,larceny)+obfuscate+IF(OR('Character Sheet'!U66=3,'Character Sheet'!U66="1 CP"),1,0)</f>
        <v>0</v>
      </c>
      <c r="E29" s="15" t="s">
        <v>21</v>
      </c>
      <c r="F29" s="15" t="s">
        <v>12</v>
      </c>
      <c r="G29" s="17" t="s">
        <v>183</v>
      </c>
    </row>
    <row r="30" spans="1:7" ht="16.5" customHeight="1" x14ac:dyDescent="0.25">
      <c r="A30" s="11" t="s">
        <v>244</v>
      </c>
      <c r="B30" s="248" t="s">
        <v>245</v>
      </c>
      <c r="C30" s="248" t="s">
        <v>51</v>
      </c>
      <c r="D30" s="473" t="s">
        <v>12</v>
      </c>
      <c r="E30" s="248" t="s">
        <v>12</v>
      </c>
      <c r="F30" s="248" t="s">
        <v>12</v>
      </c>
      <c r="G30" s="12" t="s">
        <v>183</v>
      </c>
    </row>
    <row r="31" spans="1:7" ht="16.5" customHeight="1" x14ac:dyDescent="0.25">
      <c r="A31" s="11" t="s">
        <v>246</v>
      </c>
      <c r="B31" s="248" t="s">
        <v>247</v>
      </c>
      <c r="C31" s="248" t="s">
        <v>51</v>
      </c>
      <c r="D31" s="473">
        <f>intelligence+IF(stealth=0,-1,stealth)+obfuscate+IF(OR('Character Sheet'!W66=3,'Character Sheet'!W66="1 CP"),1,0)</f>
        <v>0</v>
      </c>
      <c r="E31" s="248" t="s">
        <v>21</v>
      </c>
      <c r="F31" s="248" t="s">
        <v>12</v>
      </c>
      <c r="G31" s="12" t="s">
        <v>183</v>
      </c>
    </row>
    <row r="32" spans="1:7" ht="16.5" customHeight="1" x14ac:dyDescent="0.25">
      <c r="A32" s="11" t="s">
        <v>248</v>
      </c>
      <c r="B32" s="248" t="s">
        <v>249</v>
      </c>
      <c r="C32" s="248" t="s">
        <v>51</v>
      </c>
      <c r="D32" s="473">
        <f>wits+IF(subterfuge=0,-1,subterfuge)+obfuscate+IF(OR('Character Sheet'!X66=3,'Character Sheet'!X66="1 CP"),1,0)</f>
        <v>0</v>
      </c>
      <c r="E32" s="248" t="s">
        <v>121</v>
      </c>
      <c r="F32" s="248" t="s">
        <v>211</v>
      </c>
      <c r="G32" s="12" t="s">
        <v>183</v>
      </c>
    </row>
    <row r="33" spans="1:7" ht="16.5" customHeight="1" thickBot="1" x14ac:dyDescent="0.3">
      <c r="A33" s="437" t="s">
        <v>250</v>
      </c>
      <c r="B33" s="3" t="s">
        <v>251</v>
      </c>
      <c r="C33" s="3" t="s">
        <v>51</v>
      </c>
      <c r="D33" s="438">
        <f>intelligence+IF(stealth=0,-1,stealth)+obfuscate+IF(OR('Character Sheet'!Y66=3,'Character Sheet'!Y66="1 CP"),1,0)</f>
        <v>0</v>
      </c>
      <c r="E33" s="3" t="s">
        <v>21</v>
      </c>
      <c r="F33" s="3" t="s">
        <v>12</v>
      </c>
      <c r="G33" s="13" t="s">
        <v>183</v>
      </c>
    </row>
    <row r="34" spans="1:7" ht="16.5" customHeight="1" x14ac:dyDescent="0.25">
      <c r="A34" s="14" t="s">
        <v>252</v>
      </c>
      <c r="B34" s="15" t="s">
        <v>253</v>
      </c>
      <c r="C34" s="15" t="s">
        <v>51</v>
      </c>
      <c r="D34" s="16" t="s">
        <v>12</v>
      </c>
      <c r="E34" s="15" t="s">
        <v>12</v>
      </c>
      <c r="F34" s="15" t="s">
        <v>12</v>
      </c>
      <c r="G34" s="17" t="s">
        <v>183</v>
      </c>
    </row>
    <row r="35" spans="1:7" ht="16.5" customHeight="1" x14ac:dyDescent="0.25">
      <c r="A35" s="11" t="s">
        <v>254</v>
      </c>
      <c r="B35" s="248" t="s">
        <v>255</v>
      </c>
      <c r="C35" s="248" t="s">
        <v>11</v>
      </c>
      <c r="D35" s="473" t="s">
        <v>12</v>
      </c>
      <c r="E35" s="248" t="s">
        <v>21</v>
      </c>
      <c r="F35" s="248" t="s">
        <v>12</v>
      </c>
      <c r="G35" s="12" t="s">
        <v>183</v>
      </c>
    </row>
    <row r="36" spans="1:7" ht="16.5" customHeight="1" x14ac:dyDescent="0.25">
      <c r="A36" s="11" t="s">
        <v>256</v>
      </c>
      <c r="B36" s="248" t="s">
        <v>2019</v>
      </c>
      <c r="C36" s="248" t="s">
        <v>11</v>
      </c>
      <c r="D36" s="473" t="s">
        <v>12</v>
      </c>
      <c r="E36" s="248" t="s">
        <v>13</v>
      </c>
      <c r="F36" s="248" t="s">
        <v>12</v>
      </c>
      <c r="G36" s="12" t="s">
        <v>183</v>
      </c>
    </row>
    <row r="37" spans="1:7" ht="16.5" customHeight="1" x14ac:dyDescent="0.25">
      <c r="A37" s="11" t="s">
        <v>257</v>
      </c>
      <c r="B37" s="248" t="s">
        <v>258</v>
      </c>
      <c r="C37" s="248" t="s">
        <v>11</v>
      </c>
      <c r="D37" s="473" t="s">
        <v>12</v>
      </c>
      <c r="E37" s="248" t="s">
        <v>21</v>
      </c>
      <c r="F37" s="248" t="s">
        <v>12</v>
      </c>
      <c r="G37" s="12" t="s">
        <v>183</v>
      </c>
    </row>
    <row r="38" spans="1:7" ht="16.5" customHeight="1" thickBot="1" x14ac:dyDescent="0.3">
      <c r="A38" s="437" t="s">
        <v>259</v>
      </c>
      <c r="B38" s="3" t="s">
        <v>260</v>
      </c>
      <c r="C38" s="3" t="s">
        <v>11</v>
      </c>
      <c r="D38" s="438" t="s">
        <v>12</v>
      </c>
      <c r="E38" s="3" t="s">
        <v>21</v>
      </c>
      <c r="F38" s="3" t="s">
        <v>12</v>
      </c>
      <c r="G38" s="13" t="s">
        <v>183</v>
      </c>
    </row>
    <row r="39" spans="1:7" ht="16.5" customHeight="1" thickBot="1" x14ac:dyDescent="0.3">
      <c r="A39" s="14" t="s">
        <v>261</v>
      </c>
      <c r="B39" s="15" t="s">
        <v>262</v>
      </c>
      <c r="C39" s="15" t="s">
        <v>11</v>
      </c>
      <c r="D39" s="16" t="s">
        <v>12</v>
      </c>
      <c r="E39" s="15" t="s">
        <v>21</v>
      </c>
      <c r="F39" s="15" t="s">
        <v>12</v>
      </c>
      <c r="G39" s="17" t="s">
        <v>183</v>
      </c>
    </row>
    <row r="40" spans="1:7" ht="16.5" customHeight="1" thickBot="1" x14ac:dyDescent="0.3">
      <c r="A40" s="18" t="s">
        <v>263</v>
      </c>
      <c r="B40" s="19" t="s">
        <v>263</v>
      </c>
      <c r="C40" s="19" t="s">
        <v>11</v>
      </c>
      <c r="D40" s="20" t="s">
        <v>12</v>
      </c>
      <c r="E40" s="19" t="s">
        <v>21</v>
      </c>
      <c r="F40" s="19" t="s">
        <v>12</v>
      </c>
      <c r="G40" s="21" t="s">
        <v>183</v>
      </c>
    </row>
    <row r="41" spans="1:7" ht="16.5" customHeight="1" thickBot="1" x14ac:dyDescent="0.3">
      <c r="A41" s="20"/>
      <c r="B41" s="20"/>
      <c r="C41" s="20"/>
      <c r="D41" s="20"/>
      <c r="E41" s="20"/>
      <c r="F41" s="20"/>
      <c r="G41" s="20"/>
    </row>
    <row r="42" spans="1:7" ht="17.25" customHeight="1" x14ac:dyDescent="0.25">
      <c r="A42" s="6" t="s">
        <v>264</v>
      </c>
      <c r="B42" s="7" t="s">
        <v>265</v>
      </c>
      <c r="C42" s="7" t="s">
        <v>11</v>
      </c>
      <c r="D42" s="22" t="s">
        <v>12</v>
      </c>
      <c r="E42" s="7" t="s">
        <v>13</v>
      </c>
      <c r="F42" s="7" t="s">
        <v>12</v>
      </c>
      <c r="G42" s="7" t="s">
        <v>266</v>
      </c>
    </row>
    <row r="43" spans="1:7" ht="17.25" customHeight="1" x14ac:dyDescent="0.25">
      <c r="A43" s="11" t="s">
        <v>267</v>
      </c>
      <c r="B43" s="248" t="s">
        <v>268</v>
      </c>
      <c r="C43" s="248" t="s">
        <v>11</v>
      </c>
      <c r="D43" s="473">
        <f>resolve+IF(investigation=0,-3,investigation)+BloodDis+IF(OR('Character Sheet'!V72=3,'Character Sheet'!V72="1 CP"),1,0)</f>
        <v>-2</v>
      </c>
      <c r="E43" s="248" t="s">
        <v>46</v>
      </c>
      <c r="F43" s="248" t="s">
        <v>12</v>
      </c>
      <c r="G43" s="248" t="s">
        <v>266</v>
      </c>
    </row>
    <row r="44" spans="1:7" ht="17.25" customHeight="1" x14ac:dyDescent="0.25">
      <c r="A44" s="11" t="s">
        <v>269</v>
      </c>
      <c r="B44" s="248" t="s">
        <v>270</v>
      </c>
      <c r="C44" s="248" t="s">
        <v>18</v>
      </c>
      <c r="D44" s="473">
        <f>intelligence+IF(empathy=0,-1,empathy)+BloodDis+IF(OR('Character Sheet'!W72=3,'Character Sheet'!W72="1 CP"),1,0)</f>
        <v>0</v>
      </c>
      <c r="E44" s="248" t="s">
        <v>21</v>
      </c>
      <c r="F44" s="248" t="s">
        <v>12</v>
      </c>
      <c r="G44" s="248" t="s">
        <v>266</v>
      </c>
    </row>
    <row r="45" spans="1:7" ht="17.25" customHeight="1" x14ac:dyDescent="0.25">
      <c r="A45" s="11" t="s">
        <v>271</v>
      </c>
      <c r="B45" s="248" t="s">
        <v>272</v>
      </c>
      <c r="C45" s="248" t="s">
        <v>18</v>
      </c>
      <c r="D45" s="473">
        <f>presence+IF(occult=0,-3,occult)+BloodDis+IF(OR('Character Sheet'!X72=3,'Character Sheet'!X72="1 CP"),1,0)</f>
        <v>-2</v>
      </c>
      <c r="E45" s="248" t="s">
        <v>131</v>
      </c>
      <c r="F45" s="248" t="s">
        <v>273</v>
      </c>
      <c r="G45" s="248" t="s">
        <v>266</v>
      </c>
    </row>
    <row r="46" spans="1:7" ht="17.25" customHeight="1" thickBot="1" x14ac:dyDescent="0.3">
      <c r="A46" s="437" t="s">
        <v>274</v>
      </c>
      <c r="B46" s="3" t="s">
        <v>275</v>
      </c>
      <c r="C46" s="3" t="s">
        <v>18</v>
      </c>
      <c r="D46" s="438">
        <f>resolve+IF(occult=0,-3,occult)+BloodDis+IF(OR('Character Sheet'!Y72=3,'Character Sheet'!Y72="1 CP"),1,0)</f>
        <v>-2</v>
      </c>
      <c r="E46" s="3" t="s">
        <v>121</v>
      </c>
      <c r="F46" s="3" t="s">
        <v>195</v>
      </c>
      <c r="G46" s="3" t="s">
        <v>266</v>
      </c>
    </row>
    <row r="47" spans="1:7" ht="17.25" customHeight="1" x14ac:dyDescent="0.25">
      <c r="A47" s="14" t="s">
        <v>276</v>
      </c>
      <c r="B47" s="15" t="s">
        <v>277</v>
      </c>
      <c r="C47" s="15" t="s">
        <v>51</v>
      </c>
      <c r="D47" s="16" t="s">
        <v>12</v>
      </c>
      <c r="E47" s="15" t="s">
        <v>12</v>
      </c>
      <c r="F47" s="15" t="s">
        <v>12</v>
      </c>
      <c r="G47" s="7" t="s">
        <v>278</v>
      </c>
    </row>
    <row r="48" spans="1:7" ht="17.25" customHeight="1" x14ac:dyDescent="0.25">
      <c r="A48" s="11" t="s">
        <v>279</v>
      </c>
      <c r="B48" s="248" t="s">
        <v>280</v>
      </c>
      <c r="C48" s="248" t="s">
        <v>18</v>
      </c>
      <c r="D48" s="473">
        <f>presence+IF(animalken=0,-1,animalken)+BloodDis+IF(OR('Character Sheet'!V72=3,'Character Sheet'!V72="1 CP"),1,0)</f>
        <v>0</v>
      </c>
      <c r="E48" s="248" t="s">
        <v>121</v>
      </c>
      <c r="F48" s="248" t="s">
        <v>195</v>
      </c>
      <c r="G48" s="248" t="s">
        <v>278</v>
      </c>
    </row>
    <row r="49" spans="1:7" ht="17.25" customHeight="1" x14ac:dyDescent="0.25">
      <c r="A49" s="11" t="s">
        <v>281</v>
      </c>
      <c r="B49" s="248" t="s">
        <v>282</v>
      </c>
      <c r="C49" s="248" t="s">
        <v>11</v>
      </c>
      <c r="D49" s="473" t="s">
        <v>12</v>
      </c>
      <c r="E49" s="248" t="s">
        <v>13</v>
      </c>
      <c r="F49" s="248" t="s">
        <v>12</v>
      </c>
      <c r="G49" s="248" t="s">
        <v>278</v>
      </c>
    </row>
    <row r="50" spans="1:7" ht="17.25" customHeight="1" x14ac:dyDescent="0.25">
      <c r="A50" s="11" t="s">
        <v>283</v>
      </c>
      <c r="B50" s="248" t="s">
        <v>284</v>
      </c>
      <c r="C50" s="248" t="s">
        <v>11</v>
      </c>
      <c r="D50" s="473">
        <f>presence+IF(animalken=0,-1,animalken)+BloodDis+IF(OR('Character Sheet'!X72=3,'Character Sheet'!X72="1 CP"),1,0)</f>
        <v>0</v>
      </c>
      <c r="E50" s="248" t="s">
        <v>13</v>
      </c>
      <c r="F50" s="248" t="s">
        <v>12</v>
      </c>
      <c r="G50" s="248" t="s">
        <v>278</v>
      </c>
    </row>
    <row r="51" spans="1:7" ht="17.25" customHeight="1" thickBot="1" x14ac:dyDescent="0.3">
      <c r="A51" s="23" t="s">
        <v>285</v>
      </c>
      <c r="B51" s="24" t="s">
        <v>286</v>
      </c>
      <c r="C51" s="24" t="s">
        <v>11</v>
      </c>
      <c r="D51" s="25" t="s">
        <v>12</v>
      </c>
      <c r="E51" s="24" t="s">
        <v>21</v>
      </c>
      <c r="F51" s="24" t="s">
        <v>12</v>
      </c>
      <c r="G51" s="3" t="s">
        <v>278</v>
      </c>
    </row>
    <row r="52" spans="1:7" ht="17.25" customHeight="1" x14ac:dyDescent="0.25">
      <c r="A52" s="6" t="s">
        <v>287</v>
      </c>
      <c r="B52" s="7" t="s">
        <v>288</v>
      </c>
      <c r="C52" s="7" t="s">
        <v>51</v>
      </c>
      <c r="D52" s="22">
        <f>dexterity+IF(medicine=0,-3,medicine)+BloodDis+IF(OR('Character Sheet'!U72=3,'Character Sheet'!U72="1 CP"),1,0)</f>
        <v>-2</v>
      </c>
      <c r="E52" s="7" t="s">
        <v>36</v>
      </c>
      <c r="F52" s="7" t="s">
        <v>289</v>
      </c>
      <c r="G52" s="7" t="s">
        <v>290</v>
      </c>
    </row>
    <row r="53" spans="1:7" ht="17.25" customHeight="1" x14ac:dyDescent="0.25">
      <c r="A53" s="11" t="s">
        <v>291</v>
      </c>
      <c r="B53" s="248" t="s">
        <v>292</v>
      </c>
      <c r="C53" s="248" t="s">
        <v>11</v>
      </c>
      <c r="D53" s="473" t="s">
        <v>12</v>
      </c>
      <c r="E53" s="248" t="s">
        <v>21</v>
      </c>
      <c r="F53" s="248" t="s">
        <v>12</v>
      </c>
      <c r="G53" s="248" t="s">
        <v>290</v>
      </c>
    </row>
    <row r="54" spans="1:7" ht="17.25" customHeight="1" x14ac:dyDescent="0.25">
      <c r="A54" s="11" t="s">
        <v>293</v>
      </c>
      <c r="B54" s="248" t="s">
        <v>294</v>
      </c>
      <c r="C54" s="248" t="s">
        <v>11</v>
      </c>
      <c r="D54" s="473" t="s">
        <v>12</v>
      </c>
      <c r="E54" s="248" t="s">
        <v>21</v>
      </c>
      <c r="F54" s="248" t="s">
        <v>12</v>
      </c>
      <c r="G54" s="248" t="s">
        <v>290</v>
      </c>
    </row>
    <row r="55" spans="1:7" ht="17.25" customHeight="1" x14ac:dyDescent="0.25">
      <c r="A55" s="11" t="s">
        <v>295</v>
      </c>
      <c r="B55" s="248" t="s">
        <v>296</v>
      </c>
      <c r="C55" s="248" t="s">
        <v>11</v>
      </c>
      <c r="D55" s="473">
        <f>strength+IF(science=0,-3,science)+BloodDis+IF(OR('Character Sheet'!X72=3,'Character Sheet'!X72="1 CP"),1,0)</f>
        <v>-2</v>
      </c>
      <c r="E55" s="248" t="s">
        <v>21</v>
      </c>
      <c r="F55" s="248" t="s">
        <v>12</v>
      </c>
      <c r="G55" s="248" t="s">
        <v>290</v>
      </c>
    </row>
    <row r="56" spans="1:7" ht="17.25" customHeight="1" thickBot="1" x14ac:dyDescent="0.3">
      <c r="A56" s="437" t="s">
        <v>297</v>
      </c>
      <c r="B56" s="3" t="s">
        <v>298</v>
      </c>
      <c r="C56" s="3" t="s">
        <v>31</v>
      </c>
      <c r="D56" s="438" t="s">
        <v>12</v>
      </c>
      <c r="E56" s="3" t="s">
        <v>21</v>
      </c>
      <c r="F56" s="3" t="s">
        <v>12</v>
      </c>
      <c r="G56" s="3" t="s">
        <v>290</v>
      </c>
    </row>
    <row r="57" spans="1:7" ht="17.25" customHeight="1" x14ac:dyDescent="0.25">
      <c r="A57" s="14" t="s">
        <v>299</v>
      </c>
      <c r="B57" s="15" t="s">
        <v>300</v>
      </c>
      <c r="C57" s="15" t="s">
        <v>11</v>
      </c>
      <c r="D57" s="16" t="s">
        <v>12</v>
      </c>
      <c r="E57" s="15" t="s">
        <v>13</v>
      </c>
      <c r="F57" s="15" t="s">
        <v>12</v>
      </c>
      <c r="G57" s="15" t="s">
        <v>301</v>
      </c>
    </row>
    <row r="58" spans="1:7" ht="17.25" customHeight="1" x14ac:dyDescent="0.25">
      <c r="A58" s="11" t="s">
        <v>302</v>
      </c>
      <c r="B58" s="248" t="s">
        <v>300</v>
      </c>
      <c r="C58" s="248" t="s">
        <v>11</v>
      </c>
      <c r="D58" s="473" t="s">
        <v>12</v>
      </c>
      <c r="E58" s="248" t="s">
        <v>13</v>
      </c>
      <c r="F58" s="248" t="s">
        <v>12</v>
      </c>
      <c r="G58" s="248" t="s">
        <v>301</v>
      </c>
    </row>
    <row r="59" spans="1:7" ht="17.25" customHeight="1" x14ac:dyDescent="0.25">
      <c r="A59" s="11" t="s">
        <v>303</v>
      </c>
      <c r="B59" s="248" t="s">
        <v>300</v>
      </c>
      <c r="C59" s="248" t="s">
        <v>11</v>
      </c>
      <c r="D59" s="473" t="s">
        <v>12</v>
      </c>
      <c r="E59" s="248" t="s">
        <v>13</v>
      </c>
      <c r="F59" s="248" t="s">
        <v>12</v>
      </c>
      <c r="G59" s="248" t="s">
        <v>301</v>
      </c>
    </row>
    <row r="60" spans="1:7" ht="17.25" customHeight="1" x14ac:dyDescent="0.25">
      <c r="A60" s="11" t="s">
        <v>304</v>
      </c>
      <c r="B60" s="248" t="s">
        <v>300</v>
      </c>
      <c r="C60" s="248" t="s">
        <v>11</v>
      </c>
      <c r="D60" s="473" t="s">
        <v>12</v>
      </c>
      <c r="E60" s="248" t="s">
        <v>13</v>
      </c>
      <c r="F60" s="248" t="s">
        <v>12</v>
      </c>
      <c r="G60" s="248" t="s">
        <v>301</v>
      </c>
    </row>
    <row r="61" spans="1:7" ht="17.25" customHeight="1" thickBot="1" x14ac:dyDescent="0.3">
      <c r="A61" s="23" t="s">
        <v>305</v>
      </c>
      <c r="B61" s="24" t="s">
        <v>300</v>
      </c>
      <c r="C61" s="24" t="s">
        <v>11</v>
      </c>
      <c r="D61" s="25" t="s">
        <v>12</v>
      </c>
      <c r="E61" s="24" t="s">
        <v>13</v>
      </c>
      <c r="F61" s="24" t="s">
        <v>12</v>
      </c>
      <c r="G61" s="24" t="s">
        <v>301</v>
      </c>
    </row>
    <row r="62" spans="1:7" ht="17.25" customHeight="1" x14ac:dyDescent="0.25">
      <c r="A62" s="6" t="s">
        <v>1388</v>
      </c>
      <c r="B62" s="7" t="s">
        <v>1389</v>
      </c>
      <c r="C62" s="7" t="s">
        <v>11</v>
      </c>
      <c r="D62" s="22" t="s">
        <v>12</v>
      </c>
      <c r="E62" s="7" t="s">
        <v>21</v>
      </c>
      <c r="F62" s="7" t="s">
        <v>12</v>
      </c>
      <c r="G62" s="7" t="s">
        <v>1390</v>
      </c>
    </row>
    <row r="63" spans="1:7" ht="17.25" customHeight="1" x14ac:dyDescent="0.25">
      <c r="A63" s="11" t="s">
        <v>1391</v>
      </c>
      <c r="B63" s="248" t="s">
        <v>1392</v>
      </c>
      <c r="C63" s="248" t="s">
        <v>11</v>
      </c>
      <c r="D63" s="473" t="s">
        <v>12</v>
      </c>
      <c r="E63" s="248" t="s">
        <v>13</v>
      </c>
      <c r="F63" s="248" t="s">
        <v>12</v>
      </c>
      <c r="G63" s="248" t="s">
        <v>1390</v>
      </c>
    </row>
    <row r="64" spans="1:7" ht="17.25" customHeight="1" x14ac:dyDescent="0.25">
      <c r="A64" s="11" t="s">
        <v>1393</v>
      </c>
      <c r="B64" s="248" t="s">
        <v>1394</v>
      </c>
      <c r="C64" s="248" t="s">
        <v>91</v>
      </c>
      <c r="D64" s="473" t="s">
        <v>12</v>
      </c>
      <c r="E64" s="248" t="s">
        <v>13</v>
      </c>
      <c r="F64" s="248" t="s">
        <v>12</v>
      </c>
      <c r="G64" s="248" t="s">
        <v>1390</v>
      </c>
    </row>
    <row r="65" spans="1:7" ht="17.25" customHeight="1" x14ac:dyDescent="0.25">
      <c r="A65" s="11" t="s">
        <v>1395</v>
      </c>
      <c r="B65" s="248" t="s">
        <v>1396</v>
      </c>
      <c r="C65" s="248" t="s">
        <v>11</v>
      </c>
      <c r="D65" s="473">
        <f>dexterity+IF(athletics=0,-1,athletics)+BloodDis+IF(OR('Character Sheet'!X72=3,'Character Sheet'!X72="1 CP"),1,0)</f>
        <v>0</v>
      </c>
      <c r="E65" s="248" t="s">
        <v>21</v>
      </c>
      <c r="F65" s="248" t="s">
        <v>1397</v>
      </c>
      <c r="G65" s="248" t="s">
        <v>1390</v>
      </c>
    </row>
    <row r="66" spans="1:7" ht="17.25" customHeight="1" thickBot="1" x14ac:dyDescent="0.3">
      <c r="A66" s="437" t="s">
        <v>1398</v>
      </c>
      <c r="B66" s="3" t="s">
        <v>1399</v>
      </c>
      <c r="C66" s="3" t="s">
        <v>1400</v>
      </c>
      <c r="D66" s="438">
        <f>strength+IF(brawl=0,-1,brawl)+BloodDis+IF(OR('Character Sheet'!Y72=3,'Character Sheet'!Y72="1 CP"),1,0)</f>
        <v>0</v>
      </c>
      <c r="E66" s="3" t="s">
        <v>21</v>
      </c>
      <c r="F66" s="3" t="s">
        <v>12</v>
      </c>
      <c r="G66" s="3" t="s">
        <v>1390</v>
      </c>
    </row>
    <row r="67" spans="1:7" ht="17.25" customHeight="1" x14ac:dyDescent="0.25">
      <c r="A67" s="14" t="s">
        <v>306</v>
      </c>
      <c r="B67" s="15" t="s">
        <v>307</v>
      </c>
      <c r="C67" s="15" t="s">
        <v>51</v>
      </c>
      <c r="D67" s="16">
        <f>intelligence+IF(investigation=0,-3,investigation)+BloodDis+IF(OR('Character Sheet'!U72=3,'Character Sheet'!U72="1 CP"),1,0)</f>
        <v>-2</v>
      </c>
      <c r="E67" s="15" t="s">
        <v>46</v>
      </c>
      <c r="F67" s="15" t="s">
        <v>12</v>
      </c>
      <c r="G67" s="15" t="s">
        <v>308</v>
      </c>
    </row>
    <row r="68" spans="1:7" ht="17.25" customHeight="1" x14ac:dyDescent="0.25">
      <c r="A68" s="11" t="s">
        <v>309</v>
      </c>
      <c r="B68" s="248" t="s">
        <v>310</v>
      </c>
      <c r="C68" s="248" t="s">
        <v>85</v>
      </c>
      <c r="D68" s="473">
        <f>intelligence+IF(science=0,-3,science)+BloodDis+IF(OR('Character Sheet'!V72=3,'Character Sheet'!V72="1 CP"),1,0)</f>
        <v>-2</v>
      </c>
      <c r="E68" s="248" t="s">
        <v>46</v>
      </c>
      <c r="F68" s="248" t="s">
        <v>12</v>
      </c>
      <c r="G68" s="248" t="s">
        <v>308</v>
      </c>
    </row>
    <row r="69" spans="1:7" ht="17.25" customHeight="1" x14ac:dyDescent="0.25">
      <c r="A69" s="11" t="s">
        <v>311</v>
      </c>
      <c r="B69" s="248" t="s">
        <v>312</v>
      </c>
      <c r="C69" s="248" t="s">
        <v>11</v>
      </c>
      <c r="D69" s="473">
        <f>resolve+IF(occult=0,-3,occult)+BloodDis+IF(OR('Character Sheet'!W72=3,'Character Sheet'!W72="1 CP"),1,0)</f>
        <v>-2</v>
      </c>
      <c r="E69" s="248" t="s">
        <v>21</v>
      </c>
      <c r="F69" s="248" t="s">
        <v>12</v>
      </c>
      <c r="G69" s="248" t="s">
        <v>308</v>
      </c>
    </row>
    <row r="70" spans="1:7" ht="17.25" customHeight="1" x14ac:dyDescent="0.25">
      <c r="A70" s="11" t="s">
        <v>313</v>
      </c>
      <c r="B70" s="248" t="s">
        <v>314</v>
      </c>
      <c r="C70" s="248" t="s">
        <v>85</v>
      </c>
      <c r="D70" s="473">
        <f>intelligence+IF(science=0,-3,science)+BloodDis+IF(OR('Character Sheet'!X72=3,'Character Sheet'!X72="1 CP"),1,0)</f>
        <v>-2</v>
      </c>
      <c r="E70" s="248" t="s">
        <v>46</v>
      </c>
      <c r="F70" s="248" t="s">
        <v>12</v>
      </c>
      <c r="G70" s="248" t="s">
        <v>308</v>
      </c>
    </row>
    <row r="71" spans="1:7" ht="17.25" customHeight="1" thickBot="1" x14ac:dyDescent="0.3">
      <c r="A71" s="23" t="s">
        <v>315</v>
      </c>
      <c r="B71" s="24" t="s">
        <v>316</v>
      </c>
      <c r="C71" s="24" t="s">
        <v>317</v>
      </c>
      <c r="D71" s="25" t="s">
        <v>12</v>
      </c>
      <c r="E71" s="24" t="s">
        <v>318</v>
      </c>
      <c r="F71" s="24" t="s">
        <v>12</v>
      </c>
      <c r="G71" s="24" t="s">
        <v>308</v>
      </c>
    </row>
    <row r="72" spans="1:7" ht="17.25" customHeight="1" x14ac:dyDescent="0.25">
      <c r="A72" s="6" t="s">
        <v>1401</v>
      </c>
      <c r="B72" s="7" t="s">
        <v>1402</v>
      </c>
      <c r="C72" s="7" t="s">
        <v>51</v>
      </c>
      <c r="D72" s="22">
        <f>intelligence+IF(medicine=0,-3,medicine)+BloodDis+IF(OR('Character Sheet'!U72=3,'Character Sheet'!U72="1 CP"),1,0)</f>
        <v>-2</v>
      </c>
      <c r="E72" s="7" t="s">
        <v>21</v>
      </c>
      <c r="F72" s="7" t="s">
        <v>12</v>
      </c>
      <c r="G72" s="7" t="s">
        <v>1403</v>
      </c>
    </row>
    <row r="73" spans="1:7" ht="17.25" customHeight="1" x14ac:dyDescent="0.25">
      <c r="A73" s="11" t="s">
        <v>1404</v>
      </c>
      <c r="B73" s="248" t="s">
        <v>1405</v>
      </c>
      <c r="C73" s="248" t="s">
        <v>11</v>
      </c>
      <c r="D73" s="473" t="s">
        <v>12</v>
      </c>
      <c r="E73" s="248" t="s">
        <v>21</v>
      </c>
      <c r="F73" s="248" t="s">
        <v>12</v>
      </c>
      <c r="G73" s="248" t="s">
        <v>1403</v>
      </c>
    </row>
    <row r="74" spans="1:7" ht="17.25" customHeight="1" x14ac:dyDescent="0.25">
      <c r="A74" s="11" t="s">
        <v>1406</v>
      </c>
      <c r="B74" s="248" t="s">
        <v>1407</v>
      </c>
      <c r="C74" s="248" t="s">
        <v>11</v>
      </c>
      <c r="D74" s="473">
        <f>wits+IF(survival=0,-1,survival)+BloodDis+IF(OR('Character Sheet'!W72=3,'Character Sheet'!W72="1 CP"),1,0)</f>
        <v>0</v>
      </c>
      <c r="E74" s="248" t="s">
        <v>21</v>
      </c>
      <c r="F74" s="248" t="s">
        <v>319</v>
      </c>
      <c r="G74" s="248" t="s">
        <v>1403</v>
      </c>
    </row>
    <row r="75" spans="1:7" ht="17.25" customHeight="1" x14ac:dyDescent="0.25">
      <c r="A75" s="11" t="s">
        <v>1408</v>
      </c>
      <c r="B75" s="248" t="s">
        <v>1409</v>
      </c>
      <c r="C75" s="248" t="s">
        <v>145</v>
      </c>
      <c r="D75" s="473">
        <f>intelligence+IF(medicine=0,-3,medicine)+BloodDis+IF(OR('Character Sheet'!X72=3,'Character Sheet'!X72="1 CP"),1,0)</f>
        <v>-2</v>
      </c>
      <c r="E75" s="248" t="s">
        <v>21</v>
      </c>
      <c r="F75" s="248" t="s">
        <v>12</v>
      </c>
      <c r="G75" s="248" t="s">
        <v>1403</v>
      </c>
    </row>
    <row r="76" spans="1:7" ht="17.25" customHeight="1" thickBot="1" x14ac:dyDescent="0.3">
      <c r="A76" s="437" t="s">
        <v>1410</v>
      </c>
      <c r="B76" s="3" t="s">
        <v>1411</v>
      </c>
      <c r="C76" s="3" t="s">
        <v>18</v>
      </c>
      <c r="D76" s="438">
        <f>wits+IF(survival=0,-1,survival)+BloodDis+IF(OR('Character Sheet'!Y72=3,'Character Sheet'!Y72="1 CP"),1,0)</f>
        <v>0</v>
      </c>
      <c r="E76" s="3" t="s">
        <v>21</v>
      </c>
      <c r="F76" s="3" t="s">
        <v>12</v>
      </c>
      <c r="G76" s="3" t="s">
        <v>1403</v>
      </c>
    </row>
    <row r="77" spans="1:7" ht="17.25" customHeight="1" x14ac:dyDescent="0.25">
      <c r="A77" s="14" t="s">
        <v>320</v>
      </c>
      <c r="B77" s="15" t="s">
        <v>321</v>
      </c>
      <c r="C77" s="15" t="s">
        <v>51</v>
      </c>
      <c r="D77" s="16">
        <f>wits+IF(persuasion=0,-1,persuasion)+BloodDis+IF(OR('Character Sheet'!U72=3,'Character Sheet'!U72="1 CP"),1,0)</f>
        <v>0</v>
      </c>
      <c r="E77" s="15" t="s">
        <v>121</v>
      </c>
      <c r="F77" s="15" t="s">
        <v>322</v>
      </c>
      <c r="G77" s="15" t="s">
        <v>323</v>
      </c>
    </row>
    <row r="78" spans="1:7" ht="17.25" customHeight="1" x14ac:dyDescent="0.25">
      <c r="A78" s="11" t="s">
        <v>324</v>
      </c>
      <c r="B78" s="248" t="s">
        <v>325</v>
      </c>
      <c r="C78" s="248" t="s">
        <v>11</v>
      </c>
      <c r="D78" s="473">
        <f>presence+IF(larceny=0,-1,larceny)+BloodDis+IF(OR('Character Sheet'!V72=3,'Character Sheet'!V72="1 CP"),1,0)</f>
        <v>0</v>
      </c>
      <c r="E78" s="248" t="s">
        <v>21</v>
      </c>
      <c r="F78" s="248" t="s">
        <v>12</v>
      </c>
      <c r="G78" s="248" t="s">
        <v>323</v>
      </c>
    </row>
    <row r="79" spans="1:7" ht="17.25" customHeight="1" x14ac:dyDescent="0.25">
      <c r="A79" s="11" t="s">
        <v>326</v>
      </c>
      <c r="B79" s="248" t="s">
        <v>327</v>
      </c>
      <c r="C79" s="248" t="s">
        <v>11</v>
      </c>
      <c r="D79" s="473">
        <f>wits+IF(craft=0,-3,craft)+BloodDis+IF(OR('Character Sheet'!W72=3,'Character Sheet'!W72="1 CP"),1,0)</f>
        <v>-2</v>
      </c>
      <c r="E79" s="248" t="s">
        <v>21</v>
      </c>
      <c r="F79" s="248" t="s">
        <v>12</v>
      </c>
      <c r="G79" s="248" t="s">
        <v>323</v>
      </c>
    </row>
    <row r="80" spans="1:7" ht="17.25" customHeight="1" x14ac:dyDescent="0.25">
      <c r="A80" s="11" t="s">
        <v>328</v>
      </c>
      <c r="B80" s="248" t="s">
        <v>329</v>
      </c>
      <c r="C80" s="248" t="s">
        <v>51</v>
      </c>
      <c r="D80" s="473">
        <f>wits+IF(occult=0,-3,occult)+BloodDis+IF(OR('Character Sheet'!X72=3,'Character Sheet'!X72="1 CP"),1,0)</f>
        <v>-2</v>
      </c>
      <c r="E80" s="248" t="s">
        <v>21</v>
      </c>
      <c r="F80" s="248" t="s">
        <v>12</v>
      </c>
      <c r="G80" s="248" t="s">
        <v>323</v>
      </c>
    </row>
    <row r="81" spans="1:7" ht="17.25" customHeight="1" thickBot="1" x14ac:dyDescent="0.3">
      <c r="A81" s="23" t="s">
        <v>330</v>
      </c>
      <c r="B81" s="24" t="s">
        <v>331</v>
      </c>
      <c r="C81" s="24" t="s">
        <v>11</v>
      </c>
      <c r="D81" s="25">
        <f>manipulation+IF(occult=0,-3,occult)+BloodDis+IF(OR('Character Sheet'!Y72=3,'Character Sheet'!Y72="1 CP"),1,0)</f>
        <v>-2</v>
      </c>
      <c r="E81" s="24" t="s">
        <v>21</v>
      </c>
      <c r="F81" s="24" t="s">
        <v>12</v>
      </c>
      <c r="G81" s="24" t="s">
        <v>323</v>
      </c>
    </row>
    <row r="82" spans="1:7" ht="17.25" customHeight="1" x14ac:dyDescent="0.25">
      <c r="A82" s="6" t="s">
        <v>332</v>
      </c>
      <c r="B82" s="7" t="s">
        <v>333</v>
      </c>
      <c r="C82" s="7" t="s">
        <v>51</v>
      </c>
      <c r="D82" s="22">
        <f>wits+IF(medicine=0,-3,medicine)+BloodDis+IF(OR('Character Sheet'!U72=3,'Character Sheet'!U72="1 CP"),1,0)</f>
        <v>-2</v>
      </c>
      <c r="E82" s="7" t="s">
        <v>46</v>
      </c>
      <c r="F82" s="7" t="s">
        <v>12</v>
      </c>
      <c r="G82" s="7" t="s">
        <v>334</v>
      </c>
    </row>
    <row r="83" spans="1:7" ht="17.25" customHeight="1" x14ac:dyDescent="0.25">
      <c r="A83" s="11" t="s">
        <v>335</v>
      </c>
      <c r="B83" s="248" t="s">
        <v>336</v>
      </c>
      <c r="C83" s="248" t="s">
        <v>337</v>
      </c>
      <c r="D83" s="473">
        <f>intelligence+IF(occult=0,-3,occult)+BloodDis+IF(OR('Character Sheet'!V72=3,'Character Sheet'!V72="1 CP"),1,0)</f>
        <v>-2</v>
      </c>
      <c r="E83" s="248" t="s">
        <v>21</v>
      </c>
      <c r="F83" s="248" t="s">
        <v>12</v>
      </c>
      <c r="G83" s="248" t="s">
        <v>334</v>
      </c>
    </row>
    <row r="84" spans="1:7" ht="17.25" customHeight="1" x14ac:dyDescent="0.25">
      <c r="A84" s="11" t="s">
        <v>338</v>
      </c>
      <c r="B84" s="248" t="s">
        <v>339</v>
      </c>
      <c r="C84" s="248" t="s">
        <v>11</v>
      </c>
      <c r="D84" s="473">
        <f>strength+IF(craft=0,-3,craft)+BloodDis+IF(OR('Character Sheet'!W72=3,'Character Sheet'!W72="1 CP"),1,0)</f>
        <v>-2</v>
      </c>
      <c r="E84" s="248" t="s">
        <v>21</v>
      </c>
      <c r="F84" s="248" t="s">
        <v>12</v>
      </c>
      <c r="G84" s="248" t="s">
        <v>334</v>
      </c>
    </row>
    <row r="85" spans="1:7" ht="17.25" customHeight="1" x14ac:dyDescent="0.25">
      <c r="A85" s="11" t="s">
        <v>340</v>
      </c>
      <c r="B85" s="248" t="s">
        <v>341</v>
      </c>
      <c r="C85" s="248" t="s">
        <v>342</v>
      </c>
      <c r="D85" s="473">
        <f>intelligence+IF(occult=0,-3,occult)+BloodDis+IF(OR('Character Sheet'!X72=3,'Character Sheet'!X72="1 CP"),1,0)</f>
        <v>-2</v>
      </c>
      <c r="E85" s="248" t="s">
        <v>21</v>
      </c>
      <c r="F85" s="248" t="s">
        <v>12</v>
      </c>
      <c r="G85" s="248" t="s">
        <v>334</v>
      </c>
    </row>
    <row r="86" spans="1:7" ht="17.25" customHeight="1" thickBot="1" x14ac:dyDescent="0.3">
      <c r="A86" s="437" t="s">
        <v>343</v>
      </c>
      <c r="B86" s="3" t="s">
        <v>344</v>
      </c>
      <c r="C86" s="3" t="s">
        <v>18</v>
      </c>
      <c r="D86" s="438">
        <f>intelligence+IF(craft=0,-3,craft)+BloodDis+IF(OR('Character Sheet'!Y72=3,'Character Sheet'!Y72="1 CP"),1,0)</f>
        <v>-2</v>
      </c>
      <c r="E86" s="3" t="s">
        <v>21</v>
      </c>
      <c r="F86" s="3" t="s">
        <v>345</v>
      </c>
      <c r="G86" s="3" t="s">
        <v>334</v>
      </c>
    </row>
    <row r="87" spans="1:7" ht="17.25" customHeight="1" x14ac:dyDescent="0.25">
      <c r="A87" s="14" t="s">
        <v>1412</v>
      </c>
      <c r="B87" s="15" t="s">
        <v>1413</v>
      </c>
      <c r="C87" s="15" t="s">
        <v>51</v>
      </c>
      <c r="D87" s="16" t="s">
        <v>12</v>
      </c>
      <c r="E87" s="15" t="s">
        <v>12</v>
      </c>
      <c r="F87" s="15" t="s">
        <v>12</v>
      </c>
      <c r="G87" s="15" t="s">
        <v>1414</v>
      </c>
    </row>
    <row r="88" spans="1:7" ht="17.25" customHeight="1" x14ac:dyDescent="0.25">
      <c r="A88" s="11" t="s">
        <v>1415</v>
      </c>
      <c r="B88" s="248" t="s">
        <v>1416</v>
      </c>
      <c r="C88" s="248" t="s">
        <v>51</v>
      </c>
      <c r="D88" s="473" t="s">
        <v>12</v>
      </c>
      <c r="E88" s="248" t="s">
        <v>12</v>
      </c>
      <c r="F88" s="248" t="s">
        <v>12</v>
      </c>
      <c r="G88" s="248" t="s">
        <v>1414</v>
      </c>
    </row>
    <row r="89" spans="1:7" ht="17.25" customHeight="1" x14ac:dyDescent="0.25">
      <c r="A89" s="11" t="s">
        <v>1417</v>
      </c>
      <c r="B89" s="248" t="s">
        <v>1418</v>
      </c>
      <c r="C89" s="248" t="s">
        <v>51</v>
      </c>
      <c r="D89" s="473" t="s">
        <v>12</v>
      </c>
      <c r="E89" s="248" t="s">
        <v>12</v>
      </c>
      <c r="F89" s="248" t="s">
        <v>12</v>
      </c>
      <c r="G89" s="248" t="s">
        <v>1414</v>
      </c>
    </row>
    <row r="90" spans="1:7" ht="17.25" customHeight="1" thickBot="1" x14ac:dyDescent="0.3">
      <c r="A90" s="11" t="s">
        <v>1419</v>
      </c>
      <c r="B90" s="248" t="s">
        <v>1420</v>
      </c>
      <c r="C90" s="248" t="s">
        <v>51</v>
      </c>
      <c r="D90" s="473" t="s">
        <v>12</v>
      </c>
      <c r="E90" s="248" t="s">
        <v>12</v>
      </c>
      <c r="F90" s="248" t="s">
        <v>12</v>
      </c>
      <c r="G90" s="248" t="s">
        <v>1414</v>
      </c>
    </row>
    <row r="91" spans="1:7" ht="17.25" customHeight="1" x14ac:dyDescent="0.25">
      <c r="A91" s="6" t="s">
        <v>346</v>
      </c>
      <c r="B91" s="7" t="str">
        <f>CONCATENATE("+",BloodDis," to all Resolve tests")</f>
        <v>+0 to all Resolve tests</v>
      </c>
      <c r="C91" s="7" t="s">
        <v>55</v>
      </c>
      <c r="D91" s="22" t="s">
        <v>12</v>
      </c>
      <c r="E91" s="7" t="s">
        <v>12</v>
      </c>
      <c r="F91" s="7" t="s">
        <v>12</v>
      </c>
      <c r="G91" s="7" t="s">
        <v>347</v>
      </c>
    </row>
    <row r="92" spans="1:7" ht="17.25" customHeight="1" x14ac:dyDescent="0.25">
      <c r="A92" s="11" t="s">
        <v>348</v>
      </c>
      <c r="B92" s="248" t="str">
        <f>CONCATENATE("+",BloodDis," to all Resolve tests")</f>
        <v>+0 to all Resolve tests</v>
      </c>
      <c r="C92" s="248" t="s">
        <v>55</v>
      </c>
      <c r="D92" s="473" t="s">
        <v>12</v>
      </c>
      <c r="E92" s="248" t="s">
        <v>12</v>
      </c>
      <c r="F92" s="248" t="s">
        <v>12</v>
      </c>
      <c r="G92" s="248" t="s">
        <v>347</v>
      </c>
    </row>
    <row r="93" spans="1:7" ht="17.25" customHeight="1" x14ac:dyDescent="0.25">
      <c r="A93" s="11" t="s">
        <v>349</v>
      </c>
      <c r="B93" s="248" t="str">
        <f>CONCATENATE("+",BloodDis," to all Resolve tests")</f>
        <v>+0 to all Resolve tests</v>
      </c>
      <c r="C93" s="248" t="s">
        <v>55</v>
      </c>
      <c r="D93" s="473" t="s">
        <v>12</v>
      </c>
      <c r="E93" s="248" t="s">
        <v>12</v>
      </c>
      <c r="F93" s="248" t="s">
        <v>12</v>
      </c>
      <c r="G93" s="248" t="s">
        <v>347</v>
      </c>
    </row>
    <row r="94" spans="1:7" ht="17.25" customHeight="1" x14ac:dyDescent="0.25">
      <c r="A94" s="11" t="s">
        <v>350</v>
      </c>
      <c r="B94" s="248" t="str">
        <f>CONCATENATE("+",BloodDis," to all Resolve tests")</f>
        <v>+0 to all Resolve tests</v>
      </c>
      <c r="C94" s="248" t="s">
        <v>55</v>
      </c>
      <c r="D94" s="473" t="s">
        <v>12</v>
      </c>
      <c r="E94" s="248" t="s">
        <v>12</v>
      </c>
      <c r="F94" s="248" t="s">
        <v>12</v>
      </c>
      <c r="G94" s="248" t="s">
        <v>347</v>
      </c>
    </row>
    <row r="95" spans="1:7" ht="17.25" customHeight="1" thickBot="1" x14ac:dyDescent="0.3">
      <c r="A95" s="437" t="s">
        <v>351</v>
      </c>
      <c r="B95" s="3" t="str">
        <f>CONCATENATE("+",BloodDis," to all Resolve tests")</f>
        <v>+0 to all Resolve tests</v>
      </c>
      <c r="C95" s="3" t="s">
        <v>55</v>
      </c>
      <c r="D95" s="438" t="s">
        <v>12</v>
      </c>
      <c r="E95" s="3" t="s">
        <v>12</v>
      </c>
      <c r="F95" s="3" t="s">
        <v>12</v>
      </c>
      <c r="G95" s="3" t="s">
        <v>347</v>
      </c>
    </row>
    <row r="96" spans="1:7" ht="17.25" customHeight="1" x14ac:dyDescent="0.25">
      <c r="A96" s="14" t="s">
        <v>352</v>
      </c>
      <c r="B96" s="15" t="s">
        <v>353</v>
      </c>
      <c r="C96" s="15" t="s">
        <v>51</v>
      </c>
      <c r="D96" s="16">
        <f>presence +IF(intimidation=0,-1,intimidation)+BloodDis+IF(OR('Character Sheet'!U72=3,'Character Sheet'!U72="1 CP"),1,0)</f>
        <v>0</v>
      </c>
      <c r="E96" s="15" t="s">
        <v>21</v>
      </c>
      <c r="F96" s="15" t="s">
        <v>12</v>
      </c>
      <c r="G96" s="15" t="s">
        <v>354</v>
      </c>
    </row>
    <row r="97" spans="1:7" ht="17.25" customHeight="1" x14ac:dyDescent="0.25">
      <c r="A97" s="11" t="s">
        <v>355</v>
      </c>
      <c r="B97" s="248" t="s">
        <v>356</v>
      </c>
      <c r="C97" s="248" t="s">
        <v>140</v>
      </c>
      <c r="D97" s="473">
        <f>manipulation + IF(socialize=0,-1,socialize) + BloodDis+IF(OR('Character Sheet'!V72=3,'Character Sheet'!V72="1 CP"),1,0)</f>
        <v>0</v>
      </c>
      <c r="E97" s="248" t="s">
        <v>21</v>
      </c>
      <c r="F97" s="248" t="s">
        <v>357</v>
      </c>
      <c r="G97" s="248" t="s">
        <v>354</v>
      </c>
    </row>
    <row r="98" spans="1:7" ht="17.25" customHeight="1" x14ac:dyDescent="0.25">
      <c r="A98" s="11" t="s">
        <v>358</v>
      </c>
      <c r="B98" s="248" t="s">
        <v>359</v>
      </c>
      <c r="C98" s="248" t="s">
        <v>140</v>
      </c>
      <c r="D98" s="473">
        <f>wits+IF(weaponry=0,-1,weaponry)+BloodDis+IF(OR('Character Sheet'!W72=3,'Character Sheet'!W72="1 CP"),1,0)</f>
        <v>0</v>
      </c>
      <c r="E98" s="248" t="s">
        <v>360</v>
      </c>
      <c r="F98" s="248" t="s">
        <v>361</v>
      </c>
      <c r="G98" s="248" t="s">
        <v>354</v>
      </c>
    </row>
    <row r="99" spans="1:7" ht="17.25" customHeight="1" x14ac:dyDescent="0.25">
      <c r="A99" s="11" t="s">
        <v>362</v>
      </c>
      <c r="B99" s="248" t="s">
        <v>363</v>
      </c>
      <c r="C99" s="248" t="s">
        <v>51</v>
      </c>
      <c r="D99" s="473">
        <f>resolve + composure + BloodDis+IF(OR('Character Sheet'!X72=3,'Character Sheet'!X72="1 CP"),1,0)</f>
        <v>2</v>
      </c>
      <c r="E99" s="248" t="s">
        <v>364</v>
      </c>
      <c r="F99" s="248" t="s">
        <v>85</v>
      </c>
      <c r="G99" s="248" t="s">
        <v>354</v>
      </c>
    </row>
    <row r="100" spans="1:7" ht="17.25" customHeight="1" thickBot="1" x14ac:dyDescent="0.3">
      <c r="A100" s="23" t="s">
        <v>365</v>
      </c>
      <c r="B100" s="24" t="s">
        <v>366</v>
      </c>
      <c r="C100" s="24" t="s">
        <v>11</v>
      </c>
      <c r="D100" s="25">
        <f>presence +IF(intimidation=0,-1,intimidation)+ BloodDis+IF(OR('Character Sheet'!Y72=3,'Character Sheet'!Y72="1 CP"),1,0)</f>
        <v>0</v>
      </c>
      <c r="E100" s="24" t="s">
        <v>21</v>
      </c>
      <c r="F100" s="24" t="s">
        <v>367</v>
      </c>
      <c r="G100" s="24" t="s">
        <v>354</v>
      </c>
    </row>
    <row r="101" spans="1:7" ht="17.25" customHeight="1" x14ac:dyDescent="0.25">
      <c r="A101" s="6" t="s">
        <v>1421</v>
      </c>
      <c r="B101" s="7" t="s">
        <v>1422</v>
      </c>
      <c r="C101" s="7" t="s">
        <v>11</v>
      </c>
      <c r="D101" s="22">
        <f>intelligence+IF(medicine=0,-3,medicine)+BloodDis+IF(OR('Character Sheet'!U72=3,'Character Sheet'!U72="1 CP"),1,0)</f>
        <v>-2</v>
      </c>
      <c r="E101" s="7" t="s">
        <v>21</v>
      </c>
      <c r="F101" s="7" t="s">
        <v>12</v>
      </c>
      <c r="G101" s="7" t="s">
        <v>1423</v>
      </c>
    </row>
    <row r="102" spans="1:7" ht="17.25" customHeight="1" x14ac:dyDescent="0.25">
      <c r="A102" s="11" t="s">
        <v>1424</v>
      </c>
      <c r="B102" s="248" t="s">
        <v>1425</v>
      </c>
      <c r="C102" s="248" t="s">
        <v>11</v>
      </c>
      <c r="D102" s="473">
        <f>intelligence+IF(occult=0,-3,occult)+BloodDis+IF(OR('Character Sheet'!V72=3,'Character Sheet'!V72="1 CP"),1,0)</f>
        <v>-2</v>
      </c>
      <c r="E102" s="248" t="s">
        <v>36</v>
      </c>
      <c r="F102" s="248" t="s">
        <v>37</v>
      </c>
      <c r="G102" s="248" t="s">
        <v>1423</v>
      </c>
    </row>
    <row r="103" spans="1:7" ht="17.25" customHeight="1" x14ac:dyDescent="0.25">
      <c r="A103" s="11" t="s">
        <v>1426</v>
      </c>
      <c r="B103" s="248" t="s">
        <v>1427</v>
      </c>
      <c r="C103" s="248" t="s">
        <v>1428</v>
      </c>
      <c r="D103" s="473">
        <f>intelligence+IF(occult=0,-3,occult)+BloodDis+IF(OR('Character Sheet'!W72=3,'Character Sheet'!W72="1 CP"),1,0)</f>
        <v>-2</v>
      </c>
      <c r="E103" s="248" t="s">
        <v>36</v>
      </c>
      <c r="F103" s="248" t="s">
        <v>37</v>
      </c>
      <c r="G103" s="248" t="s">
        <v>1423</v>
      </c>
    </row>
    <row r="104" spans="1:7" ht="17.25" customHeight="1" x14ac:dyDescent="0.25">
      <c r="A104" s="11" t="s">
        <v>1429</v>
      </c>
      <c r="B104" s="248" t="s">
        <v>1430</v>
      </c>
      <c r="C104" s="248" t="s">
        <v>1431</v>
      </c>
      <c r="D104" s="473">
        <f>intelligence+IF(medicine=0,-3,medicine)+BloodDis+IF(OR('Character Sheet'!X72=3,'Character Sheet'!X72="1 CP"),1,0)</f>
        <v>-2</v>
      </c>
      <c r="E104" s="248" t="s">
        <v>46</v>
      </c>
      <c r="F104" s="248" t="s">
        <v>12</v>
      </c>
      <c r="G104" s="248" t="s">
        <v>1423</v>
      </c>
    </row>
    <row r="105" spans="1:7" ht="17.25" customHeight="1" thickBot="1" x14ac:dyDescent="0.3">
      <c r="A105" s="437" t="s">
        <v>1432</v>
      </c>
      <c r="B105" s="3" t="s">
        <v>1433</v>
      </c>
      <c r="C105" s="3" t="s">
        <v>11</v>
      </c>
      <c r="D105" s="438">
        <f>intelligence+IF(occult=0,-3,occult)+BloodDis+IF(OR('Character Sheet'!Y72=3,'Character Sheet'!Y72="1 CP"),1,0)</f>
        <v>-2</v>
      </c>
      <c r="E105" s="3" t="s">
        <v>131</v>
      </c>
      <c r="F105" s="3" t="s">
        <v>37</v>
      </c>
      <c r="G105" s="3" t="s">
        <v>1423</v>
      </c>
    </row>
    <row r="106" spans="1:7" ht="17.25" customHeight="1" x14ac:dyDescent="0.25">
      <c r="A106" s="6" t="s">
        <v>1434</v>
      </c>
      <c r="B106" s="7" t="s">
        <v>1435</v>
      </c>
      <c r="C106" s="7" t="s">
        <v>11</v>
      </c>
      <c r="D106" s="22">
        <f>presence+IF(intimidation=0,-1,intimidation)+BloodDis+IF(OR('Character Sheet'!U72=3,'Character Sheet'!U72="1 CP"),1,0)</f>
        <v>0</v>
      </c>
      <c r="E106" s="7" t="s">
        <v>36</v>
      </c>
      <c r="F106" s="7" t="s">
        <v>195</v>
      </c>
      <c r="G106" s="7" t="s">
        <v>1436</v>
      </c>
    </row>
    <row r="107" spans="1:7" ht="17.25" customHeight="1" x14ac:dyDescent="0.25">
      <c r="A107" s="11" t="s">
        <v>1437</v>
      </c>
      <c r="B107" s="248" t="s">
        <v>1438</v>
      </c>
      <c r="C107" s="248" t="s">
        <v>11</v>
      </c>
      <c r="D107" s="473">
        <f>manipulation+IF(empathy=0,-1,empathy)+BloodDis+IF(OR('Character Sheet'!V72=3,'Character Sheet'!V72="1 CP"),1,0)</f>
        <v>0</v>
      </c>
      <c r="E107" s="248" t="s">
        <v>36</v>
      </c>
      <c r="F107" s="248" t="s">
        <v>195</v>
      </c>
      <c r="G107" s="248" t="s">
        <v>1436</v>
      </c>
    </row>
    <row r="108" spans="1:7" ht="17.25" customHeight="1" x14ac:dyDescent="0.25">
      <c r="A108" s="11" t="s">
        <v>1439</v>
      </c>
      <c r="B108" s="248" t="s">
        <v>1440</v>
      </c>
      <c r="C108" s="248" t="s">
        <v>11</v>
      </c>
      <c r="D108" s="473">
        <f>manipulation+IF(persuasion=0,-1,persuasion)+BloodDis+IF(OR('Character Sheet'!W72=3,'Character Sheet'!W72="1 CP"),1,0)</f>
        <v>0</v>
      </c>
      <c r="E108" s="248" t="s">
        <v>36</v>
      </c>
      <c r="F108" s="248" t="s">
        <v>195</v>
      </c>
      <c r="G108" s="248" t="s">
        <v>1436</v>
      </c>
    </row>
    <row r="109" spans="1:7" ht="17.25" customHeight="1" x14ac:dyDescent="0.25">
      <c r="A109" s="11" t="s">
        <v>1441</v>
      </c>
      <c r="B109" s="248" t="s">
        <v>1442</v>
      </c>
      <c r="C109" s="248" t="s">
        <v>1443</v>
      </c>
      <c r="D109" s="473">
        <f>presence+IF(expression=0,-1,expression)+BloodDis+IF(OR('Character Sheet'!X72=3,'Character Sheet'!X72="1 CP"),1,0)</f>
        <v>0</v>
      </c>
      <c r="E109" s="248" t="s">
        <v>36</v>
      </c>
      <c r="F109" s="248" t="s">
        <v>195</v>
      </c>
      <c r="G109" s="248" t="s">
        <v>1436</v>
      </c>
    </row>
    <row r="110" spans="1:7" ht="17.25" customHeight="1" thickBot="1" x14ac:dyDescent="0.3">
      <c r="A110" s="437" t="s">
        <v>1444</v>
      </c>
      <c r="B110" s="3" t="s">
        <v>1445</v>
      </c>
      <c r="C110" s="3" t="s">
        <v>18</v>
      </c>
      <c r="D110" s="438" t="s">
        <v>12</v>
      </c>
      <c r="E110" s="3" t="s">
        <v>21</v>
      </c>
      <c r="F110" s="3" t="s">
        <v>12</v>
      </c>
      <c r="G110" s="3" t="s">
        <v>1436</v>
      </c>
    </row>
    <row r="111" spans="1:7" ht="17.25" customHeight="1" x14ac:dyDescent="0.25">
      <c r="A111" s="14" t="s">
        <v>368</v>
      </c>
      <c r="B111" s="15" t="s">
        <v>369</v>
      </c>
      <c r="C111" s="15" t="s">
        <v>51</v>
      </c>
      <c r="D111" s="16">
        <f>wits+IF(empathy=0,-1,empathy)+BloodDis+IF(OR('Character Sheet'!U72=3,'Character Sheet'!U72="1 CP"),1,0)</f>
        <v>0</v>
      </c>
      <c r="E111" s="15" t="s">
        <v>12</v>
      </c>
      <c r="F111" s="15" t="s">
        <v>370</v>
      </c>
      <c r="G111" s="15" t="s">
        <v>371</v>
      </c>
    </row>
    <row r="112" spans="1:7" ht="17.25" customHeight="1" x14ac:dyDescent="0.25">
      <c r="A112" s="11" t="s">
        <v>372</v>
      </c>
      <c r="B112" s="248" t="s">
        <v>373</v>
      </c>
      <c r="C112" s="248" t="s">
        <v>55</v>
      </c>
      <c r="D112" s="473">
        <f>wits+IF(empathy=0,-1,empathy)+BloodDis+IF(OR('Character Sheet'!V72=3,'Character Sheet'!V72="1 CP"),1,0)</f>
        <v>0</v>
      </c>
      <c r="E112" s="248" t="s">
        <v>121</v>
      </c>
      <c r="F112" s="248" t="s">
        <v>85</v>
      </c>
      <c r="G112" s="248" t="s">
        <v>371</v>
      </c>
    </row>
    <row r="113" spans="1:7" ht="17.25" customHeight="1" x14ac:dyDescent="0.25">
      <c r="A113" s="11" t="s">
        <v>374</v>
      </c>
      <c r="B113" s="248" t="s">
        <v>375</v>
      </c>
      <c r="C113" s="248" t="s">
        <v>376</v>
      </c>
      <c r="D113" s="473" t="s">
        <v>12</v>
      </c>
      <c r="E113" s="248" t="s">
        <v>21</v>
      </c>
      <c r="F113" s="248" t="s">
        <v>12</v>
      </c>
      <c r="G113" s="248" t="s">
        <v>371</v>
      </c>
    </row>
    <row r="114" spans="1:7" ht="17.25" customHeight="1" x14ac:dyDescent="0.25">
      <c r="A114" s="11" t="s">
        <v>377</v>
      </c>
      <c r="B114" s="248" t="s">
        <v>378</v>
      </c>
      <c r="C114" s="248" t="s">
        <v>379</v>
      </c>
      <c r="D114" s="473">
        <f>presence+IF(occult=0,-3,occult)+BloodDis+IF(OR('Character Sheet'!X72=3,'Character Sheet'!X72="1 CP"),1,0)</f>
        <v>-2</v>
      </c>
      <c r="E114" s="248" t="s">
        <v>46</v>
      </c>
      <c r="F114" s="248" t="s">
        <v>12</v>
      </c>
      <c r="G114" s="248" t="s">
        <v>371</v>
      </c>
    </row>
    <row r="115" spans="1:7" ht="17.25" customHeight="1" thickBot="1" x14ac:dyDescent="0.3">
      <c r="A115" s="23" t="s">
        <v>380</v>
      </c>
      <c r="B115" s="24" t="s">
        <v>381</v>
      </c>
      <c r="C115" s="24" t="s">
        <v>382</v>
      </c>
      <c r="D115" s="25" t="s">
        <v>12</v>
      </c>
      <c r="E115" s="24" t="s">
        <v>85</v>
      </c>
      <c r="F115" s="24" t="s">
        <v>12</v>
      </c>
      <c r="G115" s="24" t="s">
        <v>371</v>
      </c>
    </row>
    <row r="116" spans="1:7" ht="17.25" customHeight="1" x14ac:dyDescent="0.25">
      <c r="A116" s="6" t="s">
        <v>383</v>
      </c>
      <c r="B116" s="7" t="s">
        <v>384</v>
      </c>
      <c r="C116" s="7" t="s">
        <v>11</v>
      </c>
      <c r="D116" s="22">
        <f>intelligence+IF(medicine=0,-3,medicine)+BloodDis+IF(OR('Character Sheet'!U72=3,'Character Sheet'!U72="1 CP"),1,0)</f>
        <v>-2</v>
      </c>
      <c r="E116" s="7" t="s">
        <v>21</v>
      </c>
      <c r="F116" s="7" t="s">
        <v>12</v>
      </c>
      <c r="G116" s="7" t="s">
        <v>385</v>
      </c>
    </row>
    <row r="117" spans="1:7" ht="17.25" customHeight="1" x14ac:dyDescent="0.25">
      <c r="A117" s="11" t="s">
        <v>386</v>
      </c>
      <c r="B117" s="248" t="s">
        <v>387</v>
      </c>
      <c r="C117" s="248" t="s">
        <v>11</v>
      </c>
      <c r="D117" s="473">
        <f>manipulation+IF(subterfuge=0,-1,subterfuge)+BloodDis+IF(OR('Character Sheet'!V72=3,'Character Sheet'!V72="1 CP"),1,0)</f>
        <v>0</v>
      </c>
      <c r="E117" s="248" t="s">
        <v>36</v>
      </c>
      <c r="F117" s="248" t="s">
        <v>195</v>
      </c>
      <c r="G117" s="248" t="s">
        <v>385</v>
      </c>
    </row>
    <row r="118" spans="1:7" ht="17.25" customHeight="1" x14ac:dyDescent="0.25">
      <c r="A118" s="11" t="s">
        <v>388</v>
      </c>
      <c r="B118" s="248" t="s">
        <v>389</v>
      </c>
      <c r="C118" s="248" t="s">
        <v>18</v>
      </c>
      <c r="D118" s="473" t="s">
        <v>12</v>
      </c>
      <c r="E118" s="248" t="s">
        <v>21</v>
      </c>
      <c r="F118" s="248" t="s">
        <v>12</v>
      </c>
      <c r="G118" s="248" t="s">
        <v>385</v>
      </c>
    </row>
    <row r="119" spans="1:7" ht="17.25" customHeight="1" x14ac:dyDescent="0.25">
      <c r="A119" s="11" t="s">
        <v>390</v>
      </c>
      <c r="B119" s="248" t="s">
        <v>391</v>
      </c>
      <c r="C119" s="248" t="s">
        <v>18</v>
      </c>
      <c r="D119" s="473" t="s">
        <v>12</v>
      </c>
      <c r="E119" s="248" t="s">
        <v>21</v>
      </c>
      <c r="F119" s="248" t="s">
        <v>12</v>
      </c>
      <c r="G119" s="248" t="s">
        <v>385</v>
      </c>
    </row>
    <row r="120" spans="1:7" ht="17.25" customHeight="1" thickBot="1" x14ac:dyDescent="0.3">
      <c r="A120" s="437" t="s">
        <v>392</v>
      </c>
      <c r="B120" s="3" t="s">
        <v>393</v>
      </c>
      <c r="C120" s="3" t="s">
        <v>11</v>
      </c>
      <c r="D120" s="438">
        <f>manipulation+IF(expression=0,-1,expression)+BloodDis+IF(OR('Character Sheet'!Y72=3,'Character Sheet'!Y72="1 CP"),1,0)</f>
        <v>0</v>
      </c>
      <c r="E120" s="3" t="s">
        <v>46</v>
      </c>
      <c r="F120" s="3" t="s">
        <v>12</v>
      </c>
      <c r="G120" s="3" t="s">
        <v>385</v>
      </c>
    </row>
    <row r="121" spans="1:7" ht="17.25" customHeight="1" x14ac:dyDescent="0.25">
      <c r="A121" s="14" t="s">
        <v>394</v>
      </c>
      <c r="B121" s="15" t="s">
        <v>395</v>
      </c>
      <c r="C121" s="15" t="s">
        <v>51</v>
      </c>
      <c r="D121" s="16">
        <f>wits+IF(occult=0,-3,occult)+BloodDis+IF(OR('Character Sheet'!U72=3,'Character Sheet'!U72="1 CP"),1,0)</f>
        <v>-2</v>
      </c>
      <c r="E121" s="15" t="s">
        <v>46</v>
      </c>
      <c r="F121" s="15" t="s">
        <v>12</v>
      </c>
      <c r="G121" s="15" t="s">
        <v>396</v>
      </c>
    </row>
    <row r="122" spans="1:7" ht="17.25" customHeight="1" x14ac:dyDescent="0.25">
      <c r="A122" s="11" t="s">
        <v>397</v>
      </c>
      <c r="B122" s="248" t="s">
        <v>398</v>
      </c>
      <c r="C122" s="248" t="s">
        <v>51</v>
      </c>
      <c r="D122" s="473">
        <f>intelligence+IF(occult=0,-3,occult)+BloodDis+IF(OR('Character Sheet'!V72=3,'Character Sheet'!V72="1 CP"),1,0)</f>
        <v>-2</v>
      </c>
      <c r="E122" s="248" t="s">
        <v>36</v>
      </c>
      <c r="F122" s="248" t="s">
        <v>85</v>
      </c>
      <c r="G122" s="248" t="s">
        <v>396</v>
      </c>
    </row>
    <row r="123" spans="1:7" ht="17.25" customHeight="1" x14ac:dyDescent="0.25">
      <c r="A123" s="11" t="s">
        <v>399</v>
      </c>
      <c r="B123" s="248" t="s">
        <v>400</v>
      </c>
      <c r="C123" s="248" t="s">
        <v>401</v>
      </c>
      <c r="D123" s="473">
        <f>presence+IF(occult=0,-3,occult)+BloodDis+IF(OR('Character Sheet'!W72=3,'Character Sheet'!W72="1 CP"),1,0)</f>
        <v>-2</v>
      </c>
      <c r="E123" s="248" t="s">
        <v>21</v>
      </c>
      <c r="F123" s="248" t="s">
        <v>85</v>
      </c>
      <c r="G123" s="248" t="s">
        <v>396</v>
      </c>
    </row>
    <row r="124" spans="1:7" ht="17.25" customHeight="1" x14ac:dyDescent="0.25">
      <c r="A124" s="11" t="s">
        <v>402</v>
      </c>
      <c r="B124" s="248" t="s">
        <v>403</v>
      </c>
      <c r="C124" s="248" t="s">
        <v>404</v>
      </c>
      <c r="D124" s="473">
        <f>resolve+IF(occult=0,-3,occult)+BloodDis+IF(OR('Character Sheet'!X72=3,'Character Sheet'!X72="1 CP"),1,0)</f>
        <v>-2</v>
      </c>
      <c r="E124" s="248" t="s">
        <v>36</v>
      </c>
      <c r="F124" s="248" t="s">
        <v>405</v>
      </c>
      <c r="G124" s="248" t="s">
        <v>396</v>
      </c>
    </row>
    <row r="125" spans="1:7" ht="17.25" customHeight="1" thickBot="1" x14ac:dyDescent="0.3">
      <c r="A125" s="23" t="s">
        <v>406</v>
      </c>
      <c r="B125" s="24" t="s">
        <v>407</v>
      </c>
      <c r="C125" s="24" t="s">
        <v>408</v>
      </c>
      <c r="D125" s="25">
        <f>intelligence+IF(occult=0,-3,occult)+BloodDis+IF(OR('Character Sheet'!Y72=3,'Character Sheet'!Y72="1 CP"),1,0)</f>
        <v>-2</v>
      </c>
      <c r="E125" s="24" t="s">
        <v>131</v>
      </c>
      <c r="F125" s="24" t="s">
        <v>409</v>
      </c>
      <c r="G125" s="24" t="s">
        <v>396</v>
      </c>
    </row>
    <row r="126" spans="1:7" ht="17.25" customHeight="1" x14ac:dyDescent="0.25">
      <c r="A126" s="6" t="s">
        <v>410</v>
      </c>
      <c r="B126" s="7" t="s">
        <v>411</v>
      </c>
      <c r="C126" s="7" t="s">
        <v>51</v>
      </c>
      <c r="D126" s="22" t="s">
        <v>12</v>
      </c>
      <c r="E126" s="7" t="s">
        <v>13</v>
      </c>
      <c r="F126" s="7" t="s">
        <v>12</v>
      </c>
      <c r="G126" s="7" t="s">
        <v>412</v>
      </c>
    </row>
    <row r="127" spans="1:7" ht="17.25" customHeight="1" x14ac:dyDescent="0.25">
      <c r="A127" s="11" t="s">
        <v>413</v>
      </c>
      <c r="B127" s="248" t="s">
        <v>414</v>
      </c>
      <c r="C127" s="248" t="s">
        <v>51</v>
      </c>
      <c r="D127" s="473">
        <f>presence+IF(empathy=0,-1,empathy)+BloodDis+IF(OR('Character Sheet'!V72=3,'Character Sheet'!V72="1 CP"),1,0)</f>
        <v>0</v>
      </c>
      <c r="E127" s="248" t="s">
        <v>46</v>
      </c>
      <c r="F127" s="248" t="s">
        <v>12</v>
      </c>
      <c r="G127" s="248" t="s">
        <v>412</v>
      </c>
    </row>
    <row r="128" spans="1:7" ht="17.25" customHeight="1" x14ac:dyDescent="0.25">
      <c r="A128" s="11" t="s">
        <v>415</v>
      </c>
      <c r="B128" s="248" t="s">
        <v>416</v>
      </c>
      <c r="C128" s="248" t="s">
        <v>18</v>
      </c>
      <c r="D128" s="473">
        <f>resolve+IF(occult=0,-3,occult)+BloodDis+IF(OR('Character Sheet'!W72=3,'Character Sheet'!W72="1 CP"),1,0)</f>
        <v>-2</v>
      </c>
      <c r="E128" s="248" t="s">
        <v>194</v>
      </c>
      <c r="F128" s="248" t="s">
        <v>12</v>
      </c>
      <c r="G128" s="248" t="s">
        <v>412</v>
      </c>
    </row>
    <row r="129" spans="1:7" ht="17.25" customHeight="1" x14ac:dyDescent="0.25">
      <c r="A129" s="11" t="s">
        <v>417</v>
      </c>
      <c r="B129" s="248" t="s">
        <v>418</v>
      </c>
      <c r="C129" s="248" t="s">
        <v>140</v>
      </c>
      <c r="D129" s="473" t="s">
        <v>85</v>
      </c>
      <c r="E129" s="248" t="s">
        <v>121</v>
      </c>
      <c r="F129" s="248" t="s">
        <v>37</v>
      </c>
      <c r="G129" s="248" t="s">
        <v>412</v>
      </c>
    </row>
    <row r="130" spans="1:7" ht="17.25" customHeight="1" thickBot="1" x14ac:dyDescent="0.3">
      <c r="A130" s="437" t="s">
        <v>419</v>
      </c>
      <c r="B130" s="3" t="s">
        <v>420</v>
      </c>
      <c r="C130" s="3" t="s">
        <v>421</v>
      </c>
      <c r="D130" s="438">
        <f>manipulation+IF(empathy=0,-1,empathy)+BloodDis+IF(OR('Character Sheet'!Y72=3,'Character Sheet'!Y72="1 CP"),1,0)</f>
        <v>0</v>
      </c>
      <c r="E130" s="3" t="s">
        <v>46</v>
      </c>
      <c r="F130" s="3" t="s">
        <v>422</v>
      </c>
      <c r="G130" s="3" t="s">
        <v>412</v>
      </c>
    </row>
    <row r="131" spans="1:7" ht="17.25" customHeight="1" x14ac:dyDescent="0.25">
      <c r="A131" s="14" t="s">
        <v>1446</v>
      </c>
      <c r="B131" s="15" t="s">
        <v>1447</v>
      </c>
      <c r="C131" s="15" t="s">
        <v>11</v>
      </c>
      <c r="D131" s="16">
        <f>composure+IF(medicine=0,-3,medicine)+BloodDis+IF(OR('Character Sheet'!U72=3,'Character Sheet'!U72="1 CP"),1,0)</f>
        <v>-2</v>
      </c>
      <c r="E131" s="15" t="s">
        <v>21</v>
      </c>
      <c r="F131" s="15" t="s">
        <v>12</v>
      </c>
      <c r="G131" s="15" t="s">
        <v>1448</v>
      </c>
    </row>
    <row r="132" spans="1:7" ht="17.25" customHeight="1" x14ac:dyDescent="0.25">
      <c r="A132" s="11" t="s">
        <v>1449</v>
      </c>
      <c r="B132" s="248" t="s">
        <v>1450</v>
      </c>
      <c r="C132" s="248" t="s">
        <v>51</v>
      </c>
      <c r="D132" s="473">
        <f>wits+investigation+BloodDis-IF(investigation=0,3,0)+IF(OR('Character Sheet'!V72=3,'Character Sheet'!V72="1 CP"),1,0)</f>
        <v>-2</v>
      </c>
      <c r="E132" s="248" t="s">
        <v>21</v>
      </c>
      <c r="F132" s="248" t="s">
        <v>12</v>
      </c>
      <c r="G132" s="248" t="s">
        <v>1448</v>
      </c>
    </row>
    <row r="133" spans="1:7" ht="17.25" customHeight="1" x14ac:dyDescent="0.25">
      <c r="A133" s="11" t="s">
        <v>1451</v>
      </c>
      <c r="B133" s="248" t="s">
        <v>1452</v>
      </c>
      <c r="C133" s="248" t="s">
        <v>11</v>
      </c>
      <c r="D133" s="473">
        <f>stamina+athletics+BloodDis-IF(athletics=0,1,0)+IF(OR('Character Sheet'!W72=3,'Character Sheet'!W72="1 CP"),1,0)</f>
        <v>0</v>
      </c>
      <c r="E133" s="248" t="s">
        <v>21</v>
      </c>
      <c r="F133" s="248" t="s">
        <v>12</v>
      </c>
      <c r="G133" s="248" t="s">
        <v>1448</v>
      </c>
    </row>
    <row r="134" spans="1:7" ht="17.25" customHeight="1" x14ac:dyDescent="0.25">
      <c r="A134" s="11" t="s">
        <v>1453</v>
      </c>
      <c r="B134" s="248" t="s">
        <v>1454</v>
      </c>
      <c r="C134" s="248" t="s">
        <v>11</v>
      </c>
      <c r="D134" s="473">
        <f>dexterity+craft+BloodDis-IF(craft=0,3,0)+IF(OR('Character Sheet'!X72=3,'Character Sheet'!X72="1 CP"),1,0)</f>
        <v>-2</v>
      </c>
      <c r="E134" s="248" t="s">
        <v>21</v>
      </c>
      <c r="F134" s="248" t="s">
        <v>12</v>
      </c>
      <c r="G134" s="248" t="s">
        <v>1448</v>
      </c>
    </row>
    <row r="135" spans="1:7" ht="17.25" customHeight="1" thickBot="1" x14ac:dyDescent="0.3">
      <c r="A135" s="23" t="s">
        <v>1455</v>
      </c>
      <c r="B135" s="24" t="s">
        <v>1456</v>
      </c>
      <c r="C135" s="24" t="s">
        <v>31</v>
      </c>
      <c r="D135" s="25">
        <f>intelligence+occult+BloodDis-IF(occult=0,3,0)+IF(OR('Character Sheet'!Y72=3,'Character Sheet'!Y72="1 CP"),1,0)</f>
        <v>-2</v>
      </c>
      <c r="E135" s="24" t="s">
        <v>21</v>
      </c>
      <c r="F135" s="24" t="s">
        <v>12</v>
      </c>
      <c r="G135" s="24" t="s">
        <v>1448</v>
      </c>
    </row>
    <row r="136" spans="1:7" ht="17.25" customHeight="1" x14ac:dyDescent="0.25">
      <c r="A136" s="6" t="s">
        <v>1457</v>
      </c>
      <c r="B136" s="7" t="s">
        <v>1458</v>
      </c>
      <c r="C136" s="7" t="s">
        <v>1459</v>
      </c>
      <c r="D136" s="22" t="s">
        <v>12</v>
      </c>
      <c r="E136" s="7" t="s">
        <v>21</v>
      </c>
      <c r="F136" s="7" t="s">
        <v>12</v>
      </c>
      <c r="G136" s="7" t="s">
        <v>1460</v>
      </c>
    </row>
    <row r="137" spans="1:7" ht="17.25" customHeight="1" x14ac:dyDescent="0.25">
      <c r="A137" s="11" t="s">
        <v>1461</v>
      </c>
      <c r="B137" s="248" t="s">
        <v>1462</v>
      </c>
      <c r="C137" s="248" t="s">
        <v>18</v>
      </c>
      <c r="D137" s="473" t="s">
        <v>12</v>
      </c>
      <c r="E137" s="248" t="s">
        <v>13</v>
      </c>
      <c r="F137" s="248" t="s">
        <v>12</v>
      </c>
      <c r="G137" s="248" t="s">
        <v>1460</v>
      </c>
    </row>
    <row r="138" spans="1:7" ht="17.25" customHeight="1" x14ac:dyDescent="0.25">
      <c r="A138" s="11" t="s">
        <v>1463</v>
      </c>
      <c r="B138" s="248" t="s">
        <v>1464</v>
      </c>
      <c r="C138" s="248" t="s">
        <v>11</v>
      </c>
      <c r="D138" s="473">
        <f>strength+medicine+BloodDis-IF(medicine=0,3,0)+IF(OR('Character Sheet'!W72=3,'Character Sheet'!W72="1 CP"),1,0)</f>
        <v>-2</v>
      </c>
      <c r="E138" s="248" t="s">
        <v>36</v>
      </c>
      <c r="F138" s="248" t="s">
        <v>423</v>
      </c>
      <c r="G138" s="248" t="s">
        <v>1460</v>
      </c>
    </row>
    <row r="139" spans="1:7" ht="17.25" customHeight="1" x14ac:dyDescent="0.25">
      <c r="A139" s="11" t="s">
        <v>1465</v>
      </c>
      <c r="B139" s="248" t="s">
        <v>1466</v>
      </c>
      <c r="C139" s="248" t="s">
        <v>1467</v>
      </c>
      <c r="D139" s="473" t="s">
        <v>12</v>
      </c>
      <c r="E139" s="248" t="s">
        <v>21</v>
      </c>
      <c r="F139" s="248" t="s">
        <v>12</v>
      </c>
      <c r="G139" s="248" t="s">
        <v>1460</v>
      </c>
    </row>
    <row r="140" spans="1:7" ht="17.25" customHeight="1" thickBot="1" x14ac:dyDescent="0.3">
      <c r="A140" s="437" t="s">
        <v>1468</v>
      </c>
      <c r="B140" s="3" t="s">
        <v>1469</v>
      </c>
      <c r="C140" s="3" t="s">
        <v>91</v>
      </c>
      <c r="D140" s="438">
        <f>dexterity+empathy+BloodDis-IF(empathy=0,1,0)+IF(OR('Character Sheet'!Y72=3,'Character Sheet'!Y72="1 CP"),1,0)</f>
        <v>0</v>
      </c>
      <c r="E140" s="3" t="s">
        <v>21</v>
      </c>
      <c r="F140" s="3" t="s">
        <v>12</v>
      </c>
      <c r="G140" s="3" t="s">
        <v>1460</v>
      </c>
    </row>
    <row r="141" spans="1:7" ht="17.25" customHeight="1" x14ac:dyDescent="0.25">
      <c r="A141" s="14" t="s">
        <v>424</v>
      </c>
      <c r="B141" s="15" t="s">
        <v>425</v>
      </c>
      <c r="C141" s="15" t="s">
        <v>18</v>
      </c>
      <c r="D141" s="16">
        <f>presence+persuasion+BloodDis-IF(persuasion=0,1,0)+IF(OR('Character Sheet'!U72=3,'Character Sheet'!U72="1 CP"),1,0)</f>
        <v>0</v>
      </c>
      <c r="E141" s="15" t="s">
        <v>121</v>
      </c>
      <c r="F141" s="15" t="s">
        <v>37</v>
      </c>
      <c r="G141" s="15" t="s">
        <v>426</v>
      </c>
    </row>
    <row r="142" spans="1:7" ht="17.25" customHeight="1" x14ac:dyDescent="0.25">
      <c r="A142" s="11" t="s">
        <v>427</v>
      </c>
      <c r="B142" s="248" t="s">
        <v>428</v>
      </c>
      <c r="C142" s="248" t="s">
        <v>18</v>
      </c>
      <c r="D142" s="473">
        <f>manipulation+persuasion+BloodDis-IF(persuasion=0,1,0)+IF(OR('Character Sheet'!V72=3,'Character Sheet'!V72="1 CP"),1,0)</f>
        <v>0</v>
      </c>
      <c r="E142" s="248" t="s">
        <v>121</v>
      </c>
      <c r="F142" s="248" t="s">
        <v>195</v>
      </c>
      <c r="G142" s="248" t="s">
        <v>426</v>
      </c>
    </row>
    <row r="143" spans="1:7" ht="17.25" customHeight="1" x14ac:dyDescent="0.25">
      <c r="A143" s="11" t="s">
        <v>429</v>
      </c>
      <c r="B143" s="248" t="s">
        <v>430</v>
      </c>
      <c r="C143" s="248" t="s">
        <v>18</v>
      </c>
      <c r="D143" s="473">
        <f>manipulation+persuasion+BloodDis-IF(persuasion=0,1,0)+IF(OR('Character Sheet'!W72=3,'Character Sheet'!W72="1 CP"),1,0)</f>
        <v>0</v>
      </c>
      <c r="E143" s="248" t="s">
        <v>121</v>
      </c>
      <c r="F143" s="248" t="s">
        <v>195</v>
      </c>
      <c r="G143" s="248" t="s">
        <v>426</v>
      </c>
    </row>
    <row r="144" spans="1:7" ht="17.25" customHeight="1" x14ac:dyDescent="0.25">
      <c r="A144" s="11" t="s">
        <v>431</v>
      </c>
      <c r="B144" s="248" t="s">
        <v>432</v>
      </c>
      <c r="C144" s="248" t="s">
        <v>31</v>
      </c>
      <c r="D144" s="473">
        <f>presence+persuasion+BloodDis-IF(persuasion=0,1,0)+IF(OR('Character Sheet'!X72=3,'Character Sheet'!X72="1 CP"),1,0)</f>
        <v>0</v>
      </c>
      <c r="E144" s="248" t="s">
        <v>121</v>
      </c>
      <c r="F144" s="248" t="s">
        <v>195</v>
      </c>
      <c r="G144" s="248" t="s">
        <v>426</v>
      </c>
    </row>
    <row r="145" spans="1:7" ht="17.25" customHeight="1" thickBot="1" x14ac:dyDescent="0.3">
      <c r="A145" s="23" t="s">
        <v>433</v>
      </c>
      <c r="B145" s="24" t="s">
        <v>434</v>
      </c>
      <c r="C145" s="24" t="s">
        <v>31</v>
      </c>
      <c r="D145" s="25">
        <f>presence+persuasion+BloodDis-IF(persuasion=0,1,0)+IF(OR('Character Sheet'!Y72=3,'Character Sheet'!Y72="1 CP"),1,0)</f>
        <v>0</v>
      </c>
      <c r="E145" s="24" t="s">
        <v>121</v>
      </c>
      <c r="F145" s="24" t="s">
        <v>85</v>
      </c>
      <c r="G145" s="24" t="s">
        <v>426</v>
      </c>
    </row>
    <row r="146" spans="1:7" ht="17.25" customHeight="1" x14ac:dyDescent="0.25">
      <c r="A146" s="6" t="s">
        <v>435</v>
      </c>
      <c r="B146" s="7" t="s">
        <v>436</v>
      </c>
      <c r="C146" s="7" t="s">
        <v>11</v>
      </c>
      <c r="D146" s="22">
        <f>intelligence+occult+BloodDis-IF(occult=0,3,0)+IF(OR('Character Sheet'!U72=3,'Character Sheet'!U72="1 CP"),1,0)</f>
        <v>-2</v>
      </c>
      <c r="E146" s="7" t="s">
        <v>21</v>
      </c>
      <c r="F146" s="7" t="s">
        <v>422</v>
      </c>
      <c r="G146" s="7" t="s">
        <v>1823</v>
      </c>
    </row>
    <row r="147" spans="1:7" ht="17.25" customHeight="1" x14ac:dyDescent="0.25">
      <c r="A147" s="11" t="s">
        <v>437</v>
      </c>
      <c r="B147" s="248" t="s">
        <v>438</v>
      </c>
      <c r="C147" s="248" t="s">
        <v>11</v>
      </c>
      <c r="D147" s="473">
        <f>intelligence+subterfuge+BloodDis-IF(subterfuge=0,1,0)+IF(OR('Character Sheet'!V72=3,'Character Sheet'!V72="1 CP"),1,0)</f>
        <v>0</v>
      </c>
      <c r="E147" s="248" t="s">
        <v>36</v>
      </c>
      <c r="F147" s="248" t="s">
        <v>37</v>
      </c>
      <c r="G147" s="248" t="s">
        <v>1823</v>
      </c>
    </row>
    <row r="148" spans="1:7" ht="17.25" customHeight="1" x14ac:dyDescent="0.25">
      <c r="A148" s="11" t="s">
        <v>439</v>
      </c>
      <c r="B148" s="248" t="s">
        <v>440</v>
      </c>
      <c r="C148" s="248" t="s">
        <v>18</v>
      </c>
      <c r="D148" s="473">
        <f>wits+persuasion+BloodDis-IF(persuasion=0,1,0)+IF(OR('Character Sheet'!W72=3,'Character Sheet'!W72="1 CP"),1,0)</f>
        <v>0</v>
      </c>
      <c r="E148" s="248" t="s">
        <v>36</v>
      </c>
      <c r="F148" s="248" t="s">
        <v>37</v>
      </c>
      <c r="G148" s="248" t="s">
        <v>1823</v>
      </c>
    </row>
    <row r="149" spans="1:7" ht="17.25" customHeight="1" x14ac:dyDescent="0.25">
      <c r="A149" s="11" t="s">
        <v>441</v>
      </c>
      <c r="B149" s="248" t="s">
        <v>442</v>
      </c>
      <c r="C149" s="248" t="s">
        <v>18</v>
      </c>
      <c r="D149" s="473">
        <f>wits+expression+BloodDis-IF(expression=0,1,0)+IF(OR('Character Sheet'!X72=3,'Character Sheet'!X72="1 CP"),1,0)</f>
        <v>0</v>
      </c>
      <c r="E149" s="248" t="s">
        <v>36</v>
      </c>
      <c r="F149" s="248" t="s">
        <v>37</v>
      </c>
      <c r="G149" s="248" t="s">
        <v>1823</v>
      </c>
    </row>
    <row r="150" spans="1:7" ht="17.25" customHeight="1" thickBot="1" x14ac:dyDescent="0.3">
      <c r="A150" s="437" t="s">
        <v>443</v>
      </c>
      <c r="B150" s="3" t="s">
        <v>444</v>
      </c>
      <c r="C150" s="3" t="s">
        <v>445</v>
      </c>
      <c r="D150" s="438">
        <f>intelligence+intimidation+BloodDis-IF(intimidation=0,1,0)+IF(OR('Character Sheet'!Y72=3,'Character Sheet'!Y72="1 CP"),1,0)</f>
        <v>0</v>
      </c>
      <c r="E150" s="3" t="s">
        <v>21</v>
      </c>
      <c r="F150" s="3" t="s">
        <v>422</v>
      </c>
      <c r="G150" s="3" t="s">
        <v>1823</v>
      </c>
    </row>
    <row r="151" spans="1:7" ht="17.25" customHeight="1" x14ac:dyDescent="0.25">
      <c r="A151" s="14" t="s">
        <v>446</v>
      </c>
      <c r="B151" s="15" t="s">
        <v>447</v>
      </c>
      <c r="C151" s="15" t="s">
        <v>18</v>
      </c>
      <c r="D151" s="16">
        <f>wits+empathy+BloodDis-IF(empathy=0,1,0)+IF(OR('Character Sheet'!U72=3,'Character Sheet'!U72="1 CP"),1,0)</f>
        <v>0</v>
      </c>
      <c r="E151" s="15" t="s">
        <v>36</v>
      </c>
      <c r="F151" s="15" t="s">
        <v>37</v>
      </c>
      <c r="G151" s="15" t="s">
        <v>448</v>
      </c>
    </row>
    <row r="152" spans="1:7" ht="17.25" customHeight="1" x14ac:dyDescent="0.25">
      <c r="A152" s="11" t="s">
        <v>449</v>
      </c>
      <c r="B152" s="248" t="s">
        <v>450</v>
      </c>
      <c r="C152" s="248" t="s">
        <v>11</v>
      </c>
      <c r="D152" s="473">
        <f>manipulation+subterfuge+BloodDis-IF(subterfuge=0,1,0)+IF(OR('Character Sheet'!V72=3,'Character Sheet'!V72="1 CP"),1,0)</f>
        <v>0</v>
      </c>
      <c r="E152" s="248" t="s">
        <v>131</v>
      </c>
      <c r="F152" s="248" t="s">
        <v>37</v>
      </c>
      <c r="G152" s="248" t="s">
        <v>448</v>
      </c>
    </row>
    <row r="153" spans="1:7" ht="17.25" customHeight="1" x14ac:dyDescent="0.25">
      <c r="A153" s="11" t="s">
        <v>451</v>
      </c>
      <c r="B153" s="248" t="s">
        <v>452</v>
      </c>
      <c r="C153" s="248" t="s">
        <v>11</v>
      </c>
      <c r="D153" s="473">
        <f>intelligence+empathy+BloodDis-IF(empathy=0,1,0)+IF(OR('Character Sheet'!W72=3,'Character Sheet'!W72="1 CP"),1,0)</f>
        <v>0</v>
      </c>
      <c r="E153" s="248" t="s">
        <v>36</v>
      </c>
      <c r="F153" s="248" t="s">
        <v>37</v>
      </c>
      <c r="G153" s="248" t="s">
        <v>448</v>
      </c>
    </row>
    <row r="154" spans="1:7" ht="17.25" customHeight="1" x14ac:dyDescent="0.25">
      <c r="A154" s="11" t="s">
        <v>453</v>
      </c>
      <c r="B154" s="248" t="s">
        <v>454</v>
      </c>
      <c r="C154" s="248" t="s">
        <v>11</v>
      </c>
      <c r="D154" s="473">
        <f>manipulation+persuasion+BloodDis-IF(persuasion=0,1,0)+IF(OR('Character Sheet'!X72=3,'Character Sheet'!X72="1 CP"),1,0)</f>
        <v>0</v>
      </c>
      <c r="E154" s="248" t="s">
        <v>36</v>
      </c>
      <c r="F154" s="248" t="s">
        <v>37</v>
      </c>
      <c r="G154" s="248" t="s">
        <v>448</v>
      </c>
    </row>
    <row r="155" spans="1:7" ht="17.25" customHeight="1" thickBot="1" x14ac:dyDescent="0.3">
      <c r="A155" s="23" t="s">
        <v>455</v>
      </c>
      <c r="B155" s="24" t="s">
        <v>456</v>
      </c>
      <c r="C155" s="24" t="s">
        <v>11</v>
      </c>
      <c r="D155" s="25">
        <f>manipulation+subterfuge+BloodDis-IF(subterfuge=0,1,0)+IF(OR('Character Sheet'!Y72=3,'Character Sheet'!Y72="1 CP"),1,0)</f>
        <v>0</v>
      </c>
      <c r="E155" s="24" t="s">
        <v>131</v>
      </c>
      <c r="F155" s="24" t="s">
        <v>195</v>
      </c>
      <c r="G155" s="24" t="s">
        <v>448</v>
      </c>
    </row>
    <row r="156" spans="1:7" ht="17.25" customHeight="1" x14ac:dyDescent="0.25">
      <c r="A156" s="6" t="s">
        <v>457</v>
      </c>
      <c r="B156" s="7" t="s">
        <v>458</v>
      </c>
      <c r="C156" s="7" t="s">
        <v>51</v>
      </c>
      <c r="D156" s="22">
        <f>manipulation+empathy+BloodDis-IF(empathy=0,1,0)+IF(OR('Character Sheet'!U72=3,'Character Sheet'!U72="1 CP"),1,0)</f>
        <v>0</v>
      </c>
      <c r="E156" s="7" t="s">
        <v>21</v>
      </c>
      <c r="F156" s="7" t="s">
        <v>459</v>
      </c>
      <c r="G156" s="7" t="s">
        <v>460</v>
      </c>
    </row>
    <row r="157" spans="1:7" ht="17.25" customHeight="1" x14ac:dyDescent="0.25">
      <c r="A157" s="11" t="s">
        <v>461</v>
      </c>
      <c r="B157" s="248" t="s">
        <v>462</v>
      </c>
      <c r="C157" s="248" t="s">
        <v>18</v>
      </c>
      <c r="D157" s="473">
        <f>presence+intimidation+BloodDis-IF(intimidation=0,1,0)+IF(OR('Character Sheet'!V72=3,'Character Sheet'!V72="1 CP"),1,0)</f>
        <v>0</v>
      </c>
      <c r="E157" s="248" t="s">
        <v>36</v>
      </c>
      <c r="F157" s="248" t="s">
        <v>195</v>
      </c>
      <c r="G157" s="248" t="s">
        <v>460</v>
      </c>
    </row>
    <row r="158" spans="1:7" ht="17.25" customHeight="1" x14ac:dyDescent="0.25">
      <c r="A158" s="11" t="s">
        <v>463</v>
      </c>
      <c r="B158" s="248" t="s">
        <v>464</v>
      </c>
      <c r="C158" s="248" t="s">
        <v>18</v>
      </c>
      <c r="D158" s="473">
        <f>resolve+intimidation+BloodDis-IF(intimidation=0,1,0)+IF(OR('Character Sheet'!W72=3,'Character Sheet'!W72="1 CP"),1,0)</f>
        <v>0</v>
      </c>
      <c r="E158" s="248" t="s">
        <v>194</v>
      </c>
      <c r="F158" s="248" t="s">
        <v>37</v>
      </c>
      <c r="G158" s="248" t="s">
        <v>460</v>
      </c>
    </row>
    <row r="159" spans="1:7" ht="17.25" customHeight="1" x14ac:dyDescent="0.25">
      <c r="A159" s="11" t="s">
        <v>465</v>
      </c>
      <c r="B159" s="248" t="s">
        <v>466</v>
      </c>
      <c r="C159" s="248" t="s">
        <v>18</v>
      </c>
      <c r="D159" s="473">
        <f>wits+politics+BloodDis-IF(politics=0,3,0)+IF(OR('Character Sheet'!X72=3,'Character Sheet'!X72="1 CP"),1,0)</f>
        <v>-2</v>
      </c>
      <c r="E159" s="248" t="s">
        <v>21</v>
      </c>
      <c r="F159" s="248" t="s">
        <v>12</v>
      </c>
      <c r="G159" s="248" t="s">
        <v>460</v>
      </c>
    </row>
    <row r="160" spans="1:7" ht="17.25" customHeight="1" thickBot="1" x14ac:dyDescent="0.3">
      <c r="A160" s="437" t="s">
        <v>467</v>
      </c>
      <c r="B160" s="3" t="s">
        <v>468</v>
      </c>
      <c r="C160" s="3" t="s">
        <v>11</v>
      </c>
      <c r="D160" s="438">
        <f>intelligence+craft+BloodDis-IF(craft=0,3,0)+IF(OR('Character Sheet'!Y72=3,'Character Sheet'!Y72="1 CP"),1,0)</f>
        <v>-2</v>
      </c>
      <c r="E160" s="3" t="s">
        <v>21</v>
      </c>
      <c r="F160" s="3" t="s">
        <v>12</v>
      </c>
      <c r="G160" s="3" t="s">
        <v>460</v>
      </c>
    </row>
    <row r="161" spans="1:7" ht="17.25" customHeight="1" x14ac:dyDescent="0.25">
      <c r="A161" s="14" t="s">
        <v>469</v>
      </c>
      <c r="B161" s="15" t="s">
        <v>470</v>
      </c>
      <c r="C161" s="7" t="s">
        <v>51</v>
      </c>
      <c r="D161" s="22">
        <f>manipulation+expression+BloodDis-IF(expression=0,1,0)+IF(OR('Character Sheet'!U72=3,'Character Sheet'!U72="1 CP"),1,0)</f>
        <v>0</v>
      </c>
      <c r="E161" s="7" t="s">
        <v>21</v>
      </c>
      <c r="F161" s="7" t="s">
        <v>12</v>
      </c>
      <c r="G161" s="15" t="s">
        <v>471</v>
      </c>
    </row>
    <row r="162" spans="1:7" ht="17.25" customHeight="1" x14ac:dyDescent="0.25">
      <c r="A162" s="11" t="s">
        <v>472</v>
      </c>
      <c r="B162" s="248" t="s">
        <v>473</v>
      </c>
      <c r="C162" s="248" t="s">
        <v>51</v>
      </c>
      <c r="D162" s="473">
        <f>resolve+composure+BloodDis+IF(OR('Character Sheet'!V72=3,'Character Sheet'!V72="1 CP"),1,0)</f>
        <v>2</v>
      </c>
      <c r="E162" s="248" t="s">
        <v>13</v>
      </c>
      <c r="F162" s="248" t="s">
        <v>12</v>
      </c>
      <c r="G162" s="248" t="s">
        <v>471</v>
      </c>
    </row>
    <row r="163" spans="1:7" ht="17.25" customHeight="1" x14ac:dyDescent="0.25">
      <c r="A163" s="11" t="s">
        <v>474</v>
      </c>
      <c r="B163" s="248" t="s">
        <v>475</v>
      </c>
      <c r="C163" s="248" t="s">
        <v>51</v>
      </c>
      <c r="D163" s="473" t="s">
        <v>12</v>
      </c>
      <c r="E163" s="248" t="s">
        <v>13</v>
      </c>
      <c r="F163" s="248" t="s">
        <v>12</v>
      </c>
      <c r="G163" s="248" t="s">
        <v>471</v>
      </c>
    </row>
    <row r="164" spans="1:7" ht="17.25" customHeight="1" x14ac:dyDescent="0.25">
      <c r="A164" s="11" t="s">
        <v>476</v>
      </c>
      <c r="B164" s="248" t="s">
        <v>477</v>
      </c>
      <c r="C164" s="248" t="s">
        <v>51</v>
      </c>
      <c r="D164" s="473">
        <f>wits+socialize+BloodDis-IF(socialize=0,1,0)+IF(OR('Character Sheet'!X72=3,'Character Sheet'!X72="1 CP"),1,0)</f>
        <v>0</v>
      </c>
      <c r="E164" s="248" t="s">
        <v>21</v>
      </c>
      <c r="F164" s="248" t="s">
        <v>12</v>
      </c>
      <c r="G164" s="248" t="s">
        <v>471</v>
      </c>
    </row>
    <row r="165" spans="1:7" ht="17.25" customHeight="1" thickBot="1" x14ac:dyDescent="0.3">
      <c r="A165" s="23" t="s">
        <v>478</v>
      </c>
      <c r="B165" s="24" t="s">
        <v>479</v>
      </c>
      <c r="C165" s="3" t="s">
        <v>51</v>
      </c>
      <c r="D165" s="438" t="s">
        <v>12</v>
      </c>
      <c r="E165" s="3" t="s">
        <v>480</v>
      </c>
      <c r="F165" s="3" t="s">
        <v>12</v>
      </c>
      <c r="G165" s="24" t="s">
        <v>471</v>
      </c>
    </row>
    <row r="166" spans="1:7" ht="17.25" customHeight="1" x14ac:dyDescent="0.25">
      <c r="A166" s="6" t="s">
        <v>481</v>
      </c>
      <c r="B166" s="7" t="s">
        <v>482</v>
      </c>
      <c r="C166" s="7" t="s">
        <v>12</v>
      </c>
      <c r="D166" s="22">
        <f>presence+persuasion+BloodDis-IF(persuasion=0,1,0)+IF(OR('Character Sheet'!U72=3,'Character Sheet'!U72="1 CP"),1,0)</f>
        <v>0</v>
      </c>
      <c r="E166" s="7" t="s">
        <v>36</v>
      </c>
      <c r="F166" s="7" t="s">
        <v>195</v>
      </c>
      <c r="G166" s="7" t="s">
        <v>483</v>
      </c>
    </row>
    <row r="167" spans="1:7" ht="17.25" customHeight="1" x14ac:dyDescent="0.25">
      <c r="A167" s="11" t="s">
        <v>484</v>
      </c>
      <c r="B167" s="248" t="s">
        <v>485</v>
      </c>
      <c r="C167" s="248" t="s">
        <v>12</v>
      </c>
      <c r="D167" s="473">
        <f>manipulation+subterfuge+BloodDis-IF(subterfuge=0,1,0)+IF(OR('Character Sheet'!V72=3,'Character Sheet'!V72="1 CP"),1,0)</f>
        <v>0</v>
      </c>
      <c r="E167" s="248" t="s">
        <v>36</v>
      </c>
      <c r="F167" s="248" t="s">
        <v>195</v>
      </c>
      <c r="G167" s="248" t="s">
        <v>483</v>
      </c>
    </row>
    <row r="168" spans="1:7" ht="17.25" customHeight="1" x14ac:dyDescent="0.25">
      <c r="A168" s="11" t="s">
        <v>486</v>
      </c>
      <c r="B168" s="248" t="s">
        <v>487</v>
      </c>
      <c r="C168" s="248" t="s">
        <v>11</v>
      </c>
      <c r="D168" s="473">
        <f>presence+intimidation+BloodDis-IF(intimidation=0,1,0)+IF(OR('Character Sheet'!W72=3,'Character Sheet'!W72="1 CP"),1,0)</f>
        <v>0</v>
      </c>
      <c r="E168" s="248" t="s">
        <v>21</v>
      </c>
      <c r="F168" s="248" t="s">
        <v>361</v>
      </c>
      <c r="G168" s="248" t="s">
        <v>483</v>
      </c>
    </row>
    <row r="169" spans="1:7" ht="17.25" customHeight="1" x14ac:dyDescent="0.25">
      <c r="A169" s="11" t="s">
        <v>488</v>
      </c>
      <c r="B169" s="248" t="s">
        <v>489</v>
      </c>
      <c r="C169" s="248" t="s">
        <v>18</v>
      </c>
      <c r="D169" s="473">
        <f>manipulation+persuasion+BloodDis-IF(persuasion=0,1,0)+IF(OR('Character Sheet'!X72=3,'Character Sheet'!X72="1 CP"),1,0)</f>
        <v>0</v>
      </c>
      <c r="E169" s="248" t="s">
        <v>36</v>
      </c>
      <c r="F169" s="248" t="s">
        <v>195</v>
      </c>
      <c r="G169" s="248" t="s">
        <v>483</v>
      </c>
    </row>
    <row r="170" spans="1:7" ht="17.25" customHeight="1" thickBot="1" x14ac:dyDescent="0.3">
      <c r="A170" s="437" t="s">
        <v>490</v>
      </c>
      <c r="B170" s="3" t="s">
        <v>491</v>
      </c>
      <c r="C170" s="3" t="s">
        <v>18</v>
      </c>
      <c r="D170" s="438">
        <f>manipulation+intimidation+BloodDis-IF(intimidation=0,1,0)+IF(OR('Character Sheet'!Y72=3,'Character Sheet'!Y72="1 CP"),1,0)</f>
        <v>0</v>
      </c>
      <c r="E170" s="3" t="s">
        <v>219</v>
      </c>
      <c r="F170" s="3" t="s">
        <v>195</v>
      </c>
      <c r="G170" s="3" t="s">
        <v>483</v>
      </c>
    </row>
    <row r="171" spans="1:7" ht="17.25" customHeight="1" x14ac:dyDescent="0.25">
      <c r="A171" s="14" t="s">
        <v>492</v>
      </c>
      <c r="B171" s="15" t="s">
        <v>493</v>
      </c>
      <c r="C171" s="15" t="s">
        <v>12</v>
      </c>
      <c r="D171" s="16">
        <f>wits+expression+BloodDis-IF(expression=0,1,0)+IF(OR('Character Sheet'!U72=3,'Character Sheet'!U72="1 CP"),1,0)</f>
        <v>0</v>
      </c>
      <c r="E171" s="15" t="s">
        <v>21</v>
      </c>
      <c r="F171" s="15" t="s">
        <v>494</v>
      </c>
      <c r="G171" s="15" t="s">
        <v>495</v>
      </c>
    </row>
    <row r="172" spans="1:7" ht="17.25" customHeight="1" x14ac:dyDescent="0.25">
      <c r="A172" s="11" t="s">
        <v>496</v>
      </c>
      <c r="B172" s="248" t="s">
        <v>497</v>
      </c>
      <c r="C172" s="248" t="s">
        <v>11</v>
      </c>
      <c r="D172" s="473">
        <f>intelligence+expression+BloodDis-IF(expression=0,1,0)+IF(OR('Character Sheet'!V72=3,'Character Sheet'!V72="1 CP"),1,0)</f>
        <v>0</v>
      </c>
      <c r="E172" s="248" t="s">
        <v>36</v>
      </c>
      <c r="F172" s="248" t="s">
        <v>37</v>
      </c>
      <c r="G172" s="248" t="s">
        <v>495</v>
      </c>
    </row>
    <row r="173" spans="1:7" ht="17.25" customHeight="1" x14ac:dyDescent="0.25">
      <c r="A173" s="11" t="s">
        <v>498</v>
      </c>
      <c r="B173" s="248" t="s">
        <v>499</v>
      </c>
      <c r="C173" s="248" t="s">
        <v>11</v>
      </c>
      <c r="D173" s="473">
        <f>intelligence+socialize+BloodDis-IF(socialize=0,1,0)+IF(OR('Character Sheet'!W72=3,'Character Sheet'!W72="1 CP"),1,0)</f>
        <v>0</v>
      </c>
      <c r="E173" s="248" t="s">
        <v>36</v>
      </c>
      <c r="F173" s="248" t="s">
        <v>195</v>
      </c>
      <c r="G173" s="248" t="s">
        <v>495</v>
      </c>
    </row>
    <row r="174" spans="1:7" ht="17.25" customHeight="1" x14ac:dyDescent="0.25">
      <c r="A174" s="11" t="s">
        <v>500</v>
      </c>
      <c r="B174" s="248" t="s">
        <v>501</v>
      </c>
      <c r="C174" s="248" t="s">
        <v>11</v>
      </c>
      <c r="D174" s="473">
        <f>intelligence+subterfuge+BloodDis-IF(subterfuge=0,1,0)+IF(OR('Character Sheet'!X72=3,'Character Sheet'!X72="1 CP"),1,0)</f>
        <v>0</v>
      </c>
      <c r="E174" s="248" t="s">
        <v>36</v>
      </c>
      <c r="F174" s="248" t="s">
        <v>37</v>
      </c>
      <c r="G174" s="248" t="s">
        <v>495</v>
      </c>
    </row>
    <row r="175" spans="1:7" ht="17.25" customHeight="1" thickBot="1" x14ac:dyDescent="0.3">
      <c r="A175" s="23" t="s">
        <v>502</v>
      </c>
      <c r="B175" s="24" t="s">
        <v>503</v>
      </c>
      <c r="C175" s="24" t="s">
        <v>18</v>
      </c>
      <c r="D175" s="25">
        <f>intelligence+subterfuge+BloodDis-IF(subterfuge=0,1,0)+IF(OR('Character Sheet'!Y72=3,'Character Sheet'!Y72="1 CP"),1,0)</f>
        <v>0</v>
      </c>
      <c r="E175" s="24" t="s">
        <v>36</v>
      </c>
      <c r="F175" s="24" t="s">
        <v>195</v>
      </c>
      <c r="G175" s="24" t="s">
        <v>495</v>
      </c>
    </row>
    <row r="176" spans="1:7" ht="17.25" customHeight="1" x14ac:dyDescent="0.25">
      <c r="A176" s="6" t="s">
        <v>504</v>
      </c>
      <c r="B176" s="7" t="s">
        <v>505</v>
      </c>
      <c r="C176" s="7" t="s">
        <v>51</v>
      </c>
      <c r="D176" s="22" t="s">
        <v>12</v>
      </c>
      <c r="E176" s="7" t="s">
        <v>12</v>
      </c>
      <c r="F176" s="7" t="s">
        <v>12</v>
      </c>
      <c r="G176" s="7" t="s">
        <v>506</v>
      </c>
    </row>
    <row r="177" spans="1:7" ht="17.25" customHeight="1" x14ac:dyDescent="0.25">
      <c r="A177" s="11" t="s">
        <v>507</v>
      </c>
      <c r="B177" s="248" t="s">
        <v>508</v>
      </c>
      <c r="C177" s="248" t="s">
        <v>18</v>
      </c>
      <c r="D177" s="473">
        <f>intelligence+occult+BloodDis-IF(occult=0,3,0)+IF(OR('Character Sheet'!V72=3,'Character Sheet'!V72="1 CP"),1,0)</f>
        <v>-2</v>
      </c>
      <c r="E177" s="248" t="s">
        <v>21</v>
      </c>
      <c r="F177" s="248" t="s">
        <v>509</v>
      </c>
      <c r="G177" s="248" t="s">
        <v>506</v>
      </c>
    </row>
    <row r="178" spans="1:7" ht="17.25" customHeight="1" x14ac:dyDescent="0.25">
      <c r="A178" s="11" t="s">
        <v>510</v>
      </c>
      <c r="B178" s="248" t="s">
        <v>511</v>
      </c>
      <c r="C178" s="248" t="s">
        <v>51</v>
      </c>
      <c r="D178" s="473" t="s">
        <v>12</v>
      </c>
      <c r="E178" s="248" t="s">
        <v>12</v>
      </c>
      <c r="F178" s="248" t="s">
        <v>12</v>
      </c>
      <c r="G178" s="248" t="s">
        <v>506</v>
      </c>
    </row>
    <row r="179" spans="1:7" ht="17.25" customHeight="1" x14ac:dyDescent="0.25">
      <c r="A179" s="11" t="s">
        <v>512</v>
      </c>
      <c r="B179" s="248" t="s">
        <v>513</v>
      </c>
      <c r="C179" s="248" t="s">
        <v>18</v>
      </c>
      <c r="D179" s="473">
        <f>presence+empathy+BloodDis-IF(empathy=0,1,0)+IF(OR('Character Sheet'!X72=3,'Character Sheet'!X72="1 CP"),1,0)</f>
        <v>0</v>
      </c>
      <c r="E179" s="248" t="s">
        <v>36</v>
      </c>
      <c r="F179" s="248" t="s">
        <v>37</v>
      </c>
      <c r="G179" s="248" t="s">
        <v>506</v>
      </c>
    </row>
    <row r="180" spans="1:7" ht="17.25" customHeight="1" thickBot="1" x14ac:dyDescent="0.3">
      <c r="A180" s="437" t="s">
        <v>514</v>
      </c>
      <c r="B180" s="3" t="s">
        <v>515</v>
      </c>
      <c r="C180" s="3" t="s">
        <v>18</v>
      </c>
      <c r="D180" s="438" t="s">
        <v>12</v>
      </c>
      <c r="E180" s="3" t="s">
        <v>13</v>
      </c>
      <c r="F180" s="3" t="s">
        <v>12</v>
      </c>
      <c r="G180" s="3" t="s">
        <v>506</v>
      </c>
    </row>
    <row r="181" spans="1:7" ht="17.25" customHeight="1" x14ac:dyDescent="0.25">
      <c r="A181" s="213" t="s">
        <v>1470</v>
      </c>
      <c r="B181" s="8" t="s">
        <v>1471</v>
      </c>
      <c r="C181" s="8" t="s">
        <v>11</v>
      </c>
      <c r="D181" s="214">
        <f>presence+IF(occult=0,-3,occult)+BloodDis</f>
        <v>-2</v>
      </c>
      <c r="E181" s="8" t="s">
        <v>46</v>
      </c>
      <c r="F181" s="8" t="s">
        <v>12</v>
      </c>
      <c r="G181" s="8" t="s">
        <v>1472</v>
      </c>
    </row>
    <row r="182" spans="1:7" ht="17.25" customHeight="1" x14ac:dyDescent="0.25">
      <c r="A182" s="11" t="s">
        <v>1473</v>
      </c>
      <c r="B182" s="248" t="s">
        <v>1474</v>
      </c>
      <c r="C182" s="248" t="s">
        <v>11</v>
      </c>
      <c r="D182" s="473">
        <f>presence+IF(occult=0,-3,occult)+BloodDis</f>
        <v>-2</v>
      </c>
      <c r="E182" s="248" t="s">
        <v>46</v>
      </c>
      <c r="F182" s="248" t="s">
        <v>12</v>
      </c>
      <c r="G182" s="248" t="s">
        <v>1472</v>
      </c>
    </row>
    <row r="183" spans="1:7" ht="17.25" customHeight="1" x14ac:dyDescent="0.25">
      <c r="A183" s="11" t="s">
        <v>1475</v>
      </c>
      <c r="B183" s="248" t="s">
        <v>1476</v>
      </c>
      <c r="C183" s="248" t="s">
        <v>11</v>
      </c>
      <c r="D183" s="473">
        <f>presence+IF(occult=0,-3,occult)+BloodDis</f>
        <v>-2</v>
      </c>
      <c r="E183" s="248" t="s">
        <v>46</v>
      </c>
      <c r="F183" s="248" t="s">
        <v>12</v>
      </c>
      <c r="G183" s="248" t="s">
        <v>1472</v>
      </c>
    </row>
    <row r="184" spans="1:7" ht="17.25" customHeight="1" x14ac:dyDescent="0.25">
      <c r="A184" s="11" t="s">
        <v>1477</v>
      </c>
      <c r="B184" s="248" t="s">
        <v>1478</v>
      </c>
      <c r="C184" s="248" t="s">
        <v>11</v>
      </c>
      <c r="D184" s="473">
        <f>presence+IF(occult=0,-3,occult)+BloodDis</f>
        <v>-2</v>
      </c>
      <c r="E184" s="248" t="s">
        <v>46</v>
      </c>
      <c r="F184" s="248" t="s">
        <v>12</v>
      </c>
      <c r="G184" s="248" t="s">
        <v>1472</v>
      </c>
    </row>
    <row r="185" spans="1:7" ht="17.25" customHeight="1" thickBot="1" x14ac:dyDescent="0.3">
      <c r="A185" s="437" t="s">
        <v>1479</v>
      </c>
      <c r="B185" s="3" t="s">
        <v>1480</v>
      </c>
      <c r="C185" s="3" t="s">
        <v>11</v>
      </c>
      <c r="D185" s="438">
        <f>presence+IF(occult=0,-3,occult)+BloodDis</f>
        <v>-2</v>
      </c>
      <c r="E185" s="3" t="s">
        <v>46</v>
      </c>
      <c r="F185" s="3" t="s">
        <v>12</v>
      </c>
      <c r="G185" s="3" t="s">
        <v>1472</v>
      </c>
    </row>
    <row r="186" spans="1:7" ht="17.25" customHeight="1" x14ac:dyDescent="0.25">
      <c r="A186" s="10" t="s">
        <v>1481</v>
      </c>
      <c r="B186" s="215" t="s">
        <v>1482</v>
      </c>
      <c r="C186" s="215" t="s">
        <v>1483</v>
      </c>
      <c r="D186" s="4">
        <f>wits+investigation+BloodDis-IF(investigation=0,3,0)+IF(OR('Character Sheet'!U72=3,'Character Sheet'!U72="1 CP"),1,0)</f>
        <v>-2</v>
      </c>
      <c r="E186" s="215" t="s">
        <v>13</v>
      </c>
      <c r="F186" s="215" t="s">
        <v>12</v>
      </c>
      <c r="G186" s="215" t="s">
        <v>1484</v>
      </c>
    </row>
    <row r="187" spans="1:7" ht="17.25" customHeight="1" x14ac:dyDescent="0.25">
      <c r="A187" s="11" t="s">
        <v>1485</v>
      </c>
      <c r="B187" s="248" t="s">
        <v>1486</v>
      </c>
      <c r="C187" s="248" t="s">
        <v>55</v>
      </c>
      <c r="D187" s="473">
        <f>intelligence+academics+BloodDis-IF(academics=0,3,0)+IF(OR('Character Sheet'!V72=3,'Character Sheet'!V72="1 CP"),1,0)</f>
        <v>-2</v>
      </c>
      <c r="E187" s="248" t="s">
        <v>21</v>
      </c>
      <c r="F187" s="248" t="s">
        <v>12</v>
      </c>
      <c r="G187" s="248" t="s">
        <v>1484</v>
      </c>
    </row>
    <row r="188" spans="1:7" ht="17.25" customHeight="1" x14ac:dyDescent="0.25">
      <c r="A188" s="11" t="s">
        <v>1487</v>
      </c>
      <c r="B188" s="248" t="s">
        <v>1488</v>
      </c>
      <c r="C188" s="248" t="s">
        <v>18</v>
      </c>
      <c r="D188" s="473">
        <f>intelligence+academics+BloodDis-IF(academics=0,3,0)+IF(OR('Character Sheet'!W72=3,'Character Sheet'!W72="1 CP"),1,0)</f>
        <v>-2</v>
      </c>
      <c r="E188" s="248" t="s">
        <v>21</v>
      </c>
      <c r="F188" s="248" t="s">
        <v>12</v>
      </c>
      <c r="G188" s="248" t="s">
        <v>1484</v>
      </c>
    </row>
    <row r="189" spans="1:7" ht="17.25" customHeight="1" x14ac:dyDescent="0.25">
      <c r="A189" s="11" t="s">
        <v>1489</v>
      </c>
      <c r="B189" s="248" t="s">
        <v>1490</v>
      </c>
      <c r="C189" s="248" t="s">
        <v>18</v>
      </c>
      <c r="D189" s="473">
        <f>intelligence+academics+BloodDis-IF(academics=0,3,0)+IF(OR('Character Sheet'!X72=3,'Character Sheet'!X72="1 CP"),1,0)</f>
        <v>-2</v>
      </c>
      <c r="E189" s="248" t="s">
        <v>21</v>
      </c>
      <c r="F189" s="248" t="s">
        <v>12</v>
      </c>
      <c r="G189" s="248" t="s">
        <v>1484</v>
      </c>
    </row>
    <row r="190" spans="1:7" ht="17.25" customHeight="1" thickBot="1" x14ac:dyDescent="0.3">
      <c r="A190" s="10" t="s">
        <v>1491</v>
      </c>
      <c r="B190" s="215" t="s">
        <v>1492</v>
      </c>
      <c r="C190" s="215" t="s">
        <v>1493</v>
      </c>
      <c r="D190" s="4">
        <f>intelligence+occult+BloodDis-IF(occult=0,3,0)+IF(OR('Character Sheet'!Y72=3,'Character Sheet'!Y72="1 CP"),1,0)</f>
        <v>-2</v>
      </c>
      <c r="E190" s="215" t="s">
        <v>21</v>
      </c>
      <c r="F190" s="215" t="s">
        <v>12</v>
      </c>
      <c r="G190" s="215" t="s">
        <v>1484</v>
      </c>
    </row>
    <row r="191" spans="1:7" ht="17.25" customHeight="1" x14ac:dyDescent="0.25">
      <c r="A191" s="6" t="s">
        <v>516</v>
      </c>
      <c r="B191" s="7" t="s">
        <v>517</v>
      </c>
      <c r="C191" s="7" t="s">
        <v>11</v>
      </c>
      <c r="D191" s="22" t="s">
        <v>12</v>
      </c>
      <c r="E191" s="7" t="s">
        <v>21</v>
      </c>
      <c r="F191" s="7" t="s">
        <v>12</v>
      </c>
      <c r="G191" s="7" t="s">
        <v>347</v>
      </c>
    </row>
    <row r="192" spans="1:7" ht="17.25" customHeight="1" x14ac:dyDescent="0.25">
      <c r="A192" s="11" t="s">
        <v>518</v>
      </c>
      <c r="B192" s="248" t="s">
        <v>519</v>
      </c>
      <c r="C192" s="248" t="s">
        <v>11</v>
      </c>
      <c r="D192" s="473">
        <f>presence+persuasion+BloodDis-IF(persuasion=0,1,0)+IF(OR('Character Sheet'!V72=3,'Character Sheet'!V72="1 CP"),1,0)</f>
        <v>0</v>
      </c>
      <c r="E192" s="248" t="s">
        <v>21</v>
      </c>
      <c r="F192" s="248" t="s">
        <v>12</v>
      </c>
      <c r="G192" s="248" t="s">
        <v>347</v>
      </c>
    </row>
    <row r="193" spans="1:7" ht="17.25" customHeight="1" x14ac:dyDescent="0.25">
      <c r="A193" s="11" t="s">
        <v>520</v>
      </c>
      <c r="B193" s="248" t="s">
        <v>521</v>
      </c>
      <c r="C193" s="248" t="s">
        <v>11</v>
      </c>
      <c r="D193" s="473" t="s">
        <v>12</v>
      </c>
      <c r="E193" s="248" t="s">
        <v>21</v>
      </c>
      <c r="F193" s="248" t="s">
        <v>12</v>
      </c>
      <c r="G193" s="248" t="s">
        <v>347</v>
      </c>
    </row>
    <row r="194" spans="1:7" ht="17.25" customHeight="1" x14ac:dyDescent="0.25">
      <c r="A194" s="11" t="s">
        <v>522</v>
      </c>
      <c r="B194" s="248" t="s">
        <v>523</v>
      </c>
      <c r="C194" s="248" t="s">
        <v>18</v>
      </c>
      <c r="D194" s="473" t="s">
        <v>12</v>
      </c>
      <c r="E194" s="248" t="s">
        <v>21</v>
      </c>
      <c r="F194" s="248" t="s">
        <v>12</v>
      </c>
      <c r="G194" s="248" t="s">
        <v>347</v>
      </c>
    </row>
    <row r="195" spans="1:7" ht="17.25" customHeight="1" thickBot="1" x14ac:dyDescent="0.3">
      <c r="A195" s="437" t="s">
        <v>524</v>
      </c>
      <c r="B195" s="3" t="s">
        <v>525</v>
      </c>
      <c r="C195" s="3" t="s">
        <v>18</v>
      </c>
      <c r="D195" s="438">
        <f>intelligence+medicine+BloodDis-IF(medicine=0,3,0)+IF(OR('Character Sheet'!Y72=3,'Character Sheet'!Y72="1 CP"),1,0)</f>
        <v>-2</v>
      </c>
      <c r="E195" s="3" t="s">
        <v>21</v>
      </c>
      <c r="F195" s="3" t="s">
        <v>423</v>
      </c>
      <c r="G195" s="3" t="s">
        <v>347</v>
      </c>
    </row>
    <row r="196" spans="1:7" ht="17.25" customHeight="1" x14ac:dyDescent="0.25">
      <c r="A196" s="14" t="s">
        <v>1494</v>
      </c>
      <c r="B196" s="15" t="s">
        <v>1495</v>
      </c>
      <c r="C196" s="15" t="s">
        <v>51</v>
      </c>
      <c r="D196" s="16" t="s">
        <v>12</v>
      </c>
      <c r="E196" s="15" t="s">
        <v>21</v>
      </c>
      <c r="F196" s="15" t="s">
        <v>12</v>
      </c>
      <c r="G196" s="15" t="s">
        <v>1496</v>
      </c>
    </row>
    <row r="197" spans="1:7" ht="17.25" customHeight="1" x14ac:dyDescent="0.25">
      <c r="A197" s="11" t="s">
        <v>1497</v>
      </c>
      <c r="B197" s="248" t="s">
        <v>1498</v>
      </c>
      <c r="C197" s="248" t="s">
        <v>51</v>
      </c>
      <c r="D197" s="473">
        <f>wits+occult+BloodDis-IF(occult=0,3,0)+IF(OR('Character Sheet'!V72=3,'Character Sheet'!V72="1 CP"),1,0)</f>
        <v>-2</v>
      </c>
      <c r="E197" s="248" t="s">
        <v>21</v>
      </c>
      <c r="F197" s="248" t="s">
        <v>12</v>
      </c>
      <c r="G197" s="248" t="s">
        <v>1496</v>
      </c>
    </row>
    <row r="198" spans="1:7" ht="17.25" customHeight="1" x14ac:dyDescent="0.25">
      <c r="A198" s="11" t="s">
        <v>1499</v>
      </c>
      <c r="B198" s="248" t="s">
        <v>1500</v>
      </c>
      <c r="C198" s="248" t="s">
        <v>18</v>
      </c>
      <c r="D198" s="473">
        <f>presence+occult+BloodDis-IF(occult=0,3,0)+IF(OR('Character Sheet'!W72=3,'Character Sheet'!W72="1 CP"),1,0)</f>
        <v>-2</v>
      </c>
      <c r="E198" s="248" t="s">
        <v>36</v>
      </c>
      <c r="F198" s="248" t="s">
        <v>1501</v>
      </c>
      <c r="G198" s="248" t="s">
        <v>1496</v>
      </c>
    </row>
    <row r="199" spans="1:7" ht="17.25" customHeight="1" x14ac:dyDescent="0.25">
      <c r="A199" s="11" t="s">
        <v>1502</v>
      </c>
      <c r="B199" s="248" t="s">
        <v>1503</v>
      </c>
      <c r="C199" s="248" t="s">
        <v>18</v>
      </c>
      <c r="D199" s="473">
        <f>manipulation+empathy+BloodDis-IF(empathy=0,1,0)+IF(OR('Character Sheet'!X72=3,'Character Sheet'!X72="1 CP"),1,0)</f>
        <v>0</v>
      </c>
      <c r="E199" s="248" t="s">
        <v>36</v>
      </c>
      <c r="F199" s="248" t="s">
        <v>361</v>
      </c>
      <c r="G199" s="248" t="s">
        <v>1496</v>
      </c>
    </row>
    <row r="200" spans="1:7" ht="17.25" customHeight="1" thickBot="1" x14ac:dyDescent="0.3">
      <c r="A200" s="23" t="s">
        <v>1504</v>
      </c>
      <c r="B200" s="24" t="s">
        <v>1505</v>
      </c>
      <c r="C200" s="24" t="s">
        <v>18</v>
      </c>
      <c r="D200" s="25">
        <f>presence+intimidation+BloodDis-IF(intimidation=0,1,0)+IF(OR('Character Sheet'!Y72=3,'Character Sheet'!Y72="1 CP"),1,0)</f>
        <v>0</v>
      </c>
      <c r="E200" s="24" t="s">
        <v>36</v>
      </c>
      <c r="F200" s="24" t="s">
        <v>1506</v>
      </c>
      <c r="G200" s="24" t="s">
        <v>1496</v>
      </c>
    </row>
    <row r="201" spans="1:7" ht="17.25" customHeight="1" x14ac:dyDescent="0.25">
      <c r="A201" s="6" t="s">
        <v>526</v>
      </c>
      <c r="B201" s="7" t="s">
        <v>527</v>
      </c>
      <c r="C201" s="7" t="s">
        <v>12</v>
      </c>
      <c r="D201" s="22" t="s">
        <v>12</v>
      </c>
      <c r="E201" s="7" t="s">
        <v>21</v>
      </c>
      <c r="F201" s="7" t="s">
        <v>12</v>
      </c>
      <c r="G201" s="7" t="s">
        <v>528</v>
      </c>
    </row>
    <row r="202" spans="1:7" ht="17.25" customHeight="1" x14ac:dyDescent="0.25">
      <c r="A202" s="11" t="s">
        <v>529</v>
      </c>
      <c r="B202" s="248" t="s">
        <v>530</v>
      </c>
      <c r="C202" s="248" t="s">
        <v>11</v>
      </c>
      <c r="D202" s="473">
        <f>intelligence+subterfuge+BloodDis-IF(subterfuge=0,1,0)+IF(OR('Character Sheet'!V72=3,'Character Sheet'!V72="1 CP"),1,0)</f>
        <v>0</v>
      </c>
      <c r="E202" s="248" t="s">
        <v>21</v>
      </c>
      <c r="F202" s="248" t="s">
        <v>12</v>
      </c>
      <c r="G202" s="248" t="s">
        <v>528</v>
      </c>
    </row>
    <row r="203" spans="1:7" ht="17.25" customHeight="1" x14ac:dyDescent="0.25">
      <c r="A203" s="11" t="s">
        <v>531</v>
      </c>
      <c r="B203" s="248" t="s">
        <v>532</v>
      </c>
      <c r="C203" s="248" t="s">
        <v>11</v>
      </c>
      <c r="D203" s="473">
        <f>wits+expression+BloodDis-IF(expression=0,1,0)+IF(OR('Character Sheet'!W72=3,'Character Sheet'!W72="1 CP"),1,0)</f>
        <v>0</v>
      </c>
      <c r="E203" s="248" t="s">
        <v>21</v>
      </c>
      <c r="F203" s="248" t="s">
        <v>12</v>
      </c>
      <c r="G203" s="248" t="s">
        <v>528</v>
      </c>
    </row>
    <row r="204" spans="1:7" ht="17.25" customHeight="1" x14ac:dyDescent="0.25">
      <c r="A204" s="11" t="s">
        <v>533</v>
      </c>
      <c r="B204" s="248" t="s">
        <v>534</v>
      </c>
      <c r="C204" s="248" t="s">
        <v>18</v>
      </c>
      <c r="D204" s="473">
        <f>wits+survival+BloodDis-IF(survival=0,1,0)+IF(OR('Character Sheet'!X72=3,'Character Sheet'!X72="1 CP"),1,0)</f>
        <v>0</v>
      </c>
      <c r="E204" s="248" t="s">
        <v>21</v>
      </c>
      <c r="F204" s="248" t="s">
        <v>12</v>
      </c>
      <c r="G204" s="248" t="s">
        <v>528</v>
      </c>
    </row>
    <row r="205" spans="1:7" ht="17.25" customHeight="1" thickBot="1" x14ac:dyDescent="0.3">
      <c r="A205" s="437" t="s">
        <v>535</v>
      </c>
      <c r="B205" s="3" t="s">
        <v>536</v>
      </c>
      <c r="C205" s="3" t="s">
        <v>18</v>
      </c>
      <c r="D205" s="438">
        <f>intelligence+expression+BloodDis-IF(expression=0,1,0)+IF(OR('Character Sheet'!Y72=3,'Character Sheet'!Y72="1 CP"),1,0)</f>
        <v>0</v>
      </c>
      <c r="E205" s="3" t="s">
        <v>36</v>
      </c>
      <c r="F205" s="3" t="s">
        <v>48</v>
      </c>
      <c r="G205" s="3" t="s">
        <v>528</v>
      </c>
    </row>
    <row r="206" spans="1:7" ht="17.25" customHeight="1" x14ac:dyDescent="0.25">
      <c r="A206" s="6" t="s">
        <v>1507</v>
      </c>
      <c r="B206" s="7" t="s">
        <v>1508</v>
      </c>
      <c r="C206" s="7" t="s">
        <v>11</v>
      </c>
      <c r="D206" s="22">
        <f>stamina+athletics+BloodDis-IF(athletics=0,1,0)+IF(OR('Character Sheet'!U72=3,'Character Sheet'!U72="1 CP"),1,0)</f>
        <v>0</v>
      </c>
      <c r="E206" s="7" t="s">
        <v>13</v>
      </c>
      <c r="F206" s="7" t="s">
        <v>12</v>
      </c>
      <c r="G206" s="7" t="s">
        <v>1484</v>
      </c>
    </row>
    <row r="207" spans="1:7" ht="17.25" customHeight="1" x14ac:dyDescent="0.25">
      <c r="A207" s="11" t="s">
        <v>1509</v>
      </c>
      <c r="B207" s="248" t="s">
        <v>1510</v>
      </c>
      <c r="C207" s="248" t="s">
        <v>11</v>
      </c>
      <c r="D207" s="473">
        <f>strength+athletics+BloodDis-IF(athletics=0,1,0)+IF(OR('Character Sheet'!V72=3,'Character Sheet'!V72="1 CP"),1,0)</f>
        <v>0</v>
      </c>
      <c r="E207" s="248" t="s">
        <v>21</v>
      </c>
      <c r="F207" s="248" t="s">
        <v>12</v>
      </c>
      <c r="G207" s="248" t="s">
        <v>1484</v>
      </c>
    </row>
    <row r="208" spans="1:7" ht="17.25" customHeight="1" x14ac:dyDescent="0.25">
      <c r="A208" s="11" t="s">
        <v>1511</v>
      </c>
      <c r="B208" s="248" t="s">
        <v>1512</v>
      </c>
      <c r="C208" s="248" t="s">
        <v>18</v>
      </c>
      <c r="D208" s="473">
        <f>wits+athletics+BloodDis-IF(athletics=0,1,0)+IF(OR('Character Sheet'!W72=3,'Character Sheet'!W72="1 CP"),1,0)</f>
        <v>0</v>
      </c>
      <c r="E208" s="248" t="s">
        <v>13</v>
      </c>
      <c r="F208" s="248" t="s">
        <v>12</v>
      </c>
      <c r="G208" s="248" t="s">
        <v>1484</v>
      </c>
    </row>
    <row r="209" spans="1:7" ht="17.25" customHeight="1" x14ac:dyDescent="0.25">
      <c r="A209" s="11" t="s">
        <v>1513</v>
      </c>
      <c r="B209" s="248" t="s">
        <v>1514</v>
      </c>
      <c r="C209" s="248" t="s">
        <v>11</v>
      </c>
      <c r="D209" s="473">
        <f>dexterity+athletics+BloodDis-IF(athletics=0,1,0)+IF(OR('Character Sheet'!X72=3,'Character Sheet'!X72="1 CP"),1,0)</f>
        <v>0</v>
      </c>
      <c r="E209" s="248" t="s">
        <v>21</v>
      </c>
      <c r="F209" s="248" t="s">
        <v>12</v>
      </c>
      <c r="G209" s="248" t="s">
        <v>1484</v>
      </c>
    </row>
    <row r="210" spans="1:7" ht="17.25" customHeight="1" thickBot="1" x14ac:dyDescent="0.3">
      <c r="A210" s="437" t="s">
        <v>1515</v>
      </c>
      <c r="B210" s="3" t="s">
        <v>1516</v>
      </c>
      <c r="C210" s="3" t="s">
        <v>11</v>
      </c>
      <c r="D210" s="438">
        <f>intelligence+occult+BloodDis-IF(occult=0,3,0)+IF(OR('Character Sheet'!Y72=3,'Character Sheet'!Y72="1 CP"),1,0)</f>
        <v>-2</v>
      </c>
      <c r="E210" s="3" t="s">
        <v>21</v>
      </c>
      <c r="F210" s="3" t="s">
        <v>12</v>
      </c>
      <c r="G210" s="3" t="s">
        <v>1484</v>
      </c>
    </row>
    <row r="211" spans="1:7" ht="17.25" customHeight="1" x14ac:dyDescent="0.25">
      <c r="A211" s="6" t="s">
        <v>537</v>
      </c>
      <c r="B211" s="7" t="s">
        <v>538</v>
      </c>
      <c r="C211" s="7" t="s">
        <v>51</v>
      </c>
      <c r="D211" s="22" t="s">
        <v>12</v>
      </c>
      <c r="E211" s="7" t="s">
        <v>12</v>
      </c>
      <c r="F211" s="7" t="str">
        <f>CONCATENATE("+",BloodDis," to all Survival tests")</f>
        <v>+0 to all Survival tests</v>
      </c>
      <c r="G211" s="7" t="s">
        <v>539</v>
      </c>
    </row>
    <row r="212" spans="1:7" ht="17.25" customHeight="1" x14ac:dyDescent="0.25">
      <c r="A212" s="11" t="s">
        <v>540</v>
      </c>
      <c r="B212" s="248" t="s">
        <v>541</v>
      </c>
      <c r="C212" s="248" t="s">
        <v>51</v>
      </c>
      <c r="D212" s="473" t="s">
        <v>12</v>
      </c>
      <c r="E212" s="248" t="s">
        <v>12</v>
      </c>
      <c r="F212" s="248" t="str">
        <f>CONCATENATE("+",BloodDis," to Haven Location or Security")</f>
        <v>+0 to Haven Location or Security</v>
      </c>
      <c r="G212" s="248" t="s">
        <v>539</v>
      </c>
    </row>
    <row r="213" spans="1:7" ht="17.25" customHeight="1" x14ac:dyDescent="0.25">
      <c r="A213" s="216" t="s">
        <v>542</v>
      </c>
      <c r="B213" s="248" t="s">
        <v>543</v>
      </c>
      <c r="C213" s="248" t="s">
        <v>51</v>
      </c>
      <c r="D213" s="473" t="s">
        <v>12</v>
      </c>
      <c r="E213" s="248" t="s">
        <v>12</v>
      </c>
      <c r="F213" s="248" t="s">
        <v>544</v>
      </c>
      <c r="G213" s="248" t="s">
        <v>539</v>
      </c>
    </row>
    <row r="214" spans="1:7" ht="17.25" customHeight="1" x14ac:dyDescent="0.25">
      <c r="A214" s="216" t="s">
        <v>545</v>
      </c>
      <c r="B214" s="248"/>
      <c r="C214" s="248"/>
      <c r="D214" s="473"/>
      <c r="E214" s="248"/>
      <c r="F214" s="248"/>
      <c r="G214" s="248" t="s">
        <v>539</v>
      </c>
    </row>
    <row r="215" spans="1:7" ht="17.25" customHeight="1" thickBot="1" x14ac:dyDescent="0.3">
      <c r="A215" s="10" t="s">
        <v>546</v>
      </c>
      <c r="B215" s="215"/>
      <c r="C215" s="215"/>
      <c r="D215" s="4"/>
      <c r="E215" s="215"/>
      <c r="F215" s="215"/>
      <c r="G215" s="215" t="s">
        <v>539</v>
      </c>
    </row>
    <row r="216" spans="1:7" ht="17.25" customHeight="1" x14ac:dyDescent="0.25">
      <c r="A216" s="6" t="s">
        <v>547</v>
      </c>
      <c r="B216" s="7" t="s">
        <v>548</v>
      </c>
      <c r="C216" s="7" t="s">
        <v>11</v>
      </c>
      <c r="D216" s="22" t="s">
        <v>12</v>
      </c>
      <c r="E216" s="7" t="s">
        <v>21</v>
      </c>
      <c r="F216" s="7" t="s">
        <v>12</v>
      </c>
      <c r="G216" s="7" t="s">
        <v>549</v>
      </c>
    </row>
    <row r="217" spans="1:7" ht="17.25" customHeight="1" x14ac:dyDescent="0.25">
      <c r="A217" s="11" t="s">
        <v>550</v>
      </c>
      <c r="B217" s="248" t="s">
        <v>551</v>
      </c>
      <c r="C217" s="248" t="s">
        <v>11</v>
      </c>
      <c r="D217" s="473">
        <f>strength+survival+BloodDis-IF(survival=0,1,0)+IF(OR('Character Sheet'!V72=3,'Character Sheet'!V72="1 CP"),1,0)</f>
        <v>0</v>
      </c>
      <c r="E217" s="248" t="s">
        <v>21</v>
      </c>
      <c r="F217" s="248" t="s">
        <v>12</v>
      </c>
      <c r="G217" s="248" t="s">
        <v>549</v>
      </c>
    </row>
    <row r="218" spans="1:7" ht="17.25" customHeight="1" x14ac:dyDescent="0.25">
      <c r="A218" s="11" t="s">
        <v>552</v>
      </c>
      <c r="B218" s="248" t="s">
        <v>553</v>
      </c>
      <c r="C218" s="248" t="s">
        <v>125</v>
      </c>
      <c r="D218" s="473" t="s">
        <v>12</v>
      </c>
      <c r="E218" s="248" t="s">
        <v>21</v>
      </c>
      <c r="F218" s="248" t="s">
        <v>12</v>
      </c>
      <c r="G218" s="248" t="s">
        <v>549</v>
      </c>
    </row>
    <row r="219" spans="1:7" ht="17.25" customHeight="1" x14ac:dyDescent="0.25">
      <c r="A219" s="11" t="s">
        <v>554</v>
      </c>
      <c r="B219" s="248" t="s">
        <v>555</v>
      </c>
      <c r="C219" s="248" t="s">
        <v>145</v>
      </c>
      <c r="D219" s="473">
        <f>presence+survival+BloodDis-IF(survival=0,1,0)+IF(OR('Character Sheet'!X72=3,'Character Sheet'!X72="1 CP"),1,0)</f>
        <v>0</v>
      </c>
      <c r="E219" s="248" t="s">
        <v>21</v>
      </c>
      <c r="F219" s="248" t="s">
        <v>556</v>
      </c>
      <c r="G219" s="248" t="s">
        <v>549</v>
      </c>
    </row>
    <row r="220" spans="1:7" ht="17.25" customHeight="1" thickBot="1" x14ac:dyDescent="0.3">
      <c r="A220" s="437" t="s">
        <v>557</v>
      </c>
      <c r="B220" s="3" t="s">
        <v>558</v>
      </c>
      <c r="C220" s="3" t="s">
        <v>18</v>
      </c>
      <c r="D220" s="438" t="s">
        <v>12</v>
      </c>
      <c r="E220" s="3" t="s">
        <v>21</v>
      </c>
      <c r="F220" s="3" t="s">
        <v>12</v>
      </c>
      <c r="G220" s="3" t="s">
        <v>549</v>
      </c>
    </row>
    <row r="221" spans="1:7" ht="17.25" customHeight="1" x14ac:dyDescent="0.25">
      <c r="A221" s="6" t="s">
        <v>559</v>
      </c>
      <c r="B221" s="7" t="s">
        <v>560</v>
      </c>
      <c r="C221" s="7" t="s">
        <v>12</v>
      </c>
      <c r="D221" s="22">
        <f>intelligence+streetwise+BloodDis-IF(streetwise=0,1,0)+IF(OR('Character Sheet'!U72=3,'Character Sheet'!U72="1 CP"),1,0)</f>
        <v>0</v>
      </c>
      <c r="E221" s="7" t="s">
        <v>21</v>
      </c>
      <c r="F221" s="7" t="s">
        <v>12</v>
      </c>
      <c r="G221" s="7" t="s">
        <v>561</v>
      </c>
    </row>
    <row r="222" spans="1:7" ht="17.25" customHeight="1" x14ac:dyDescent="0.25">
      <c r="A222" s="11" t="s">
        <v>562</v>
      </c>
      <c r="B222" s="248" t="s">
        <v>563</v>
      </c>
      <c r="C222" s="248" t="s">
        <v>11</v>
      </c>
      <c r="D222" s="473">
        <f>manipulation+medicine+BloodDis-IF(medicine=0,3,0)+IF(OR('Character Sheet'!V72=3,'Character Sheet'!V72="1 CP"),1,0)</f>
        <v>-2</v>
      </c>
      <c r="E222" s="248" t="s">
        <v>36</v>
      </c>
      <c r="F222" s="248" t="s">
        <v>48</v>
      </c>
      <c r="G222" s="248" t="s">
        <v>561</v>
      </c>
    </row>
    <row r="223" spans="1:7" ht="17.25" customHeight="1" x14ac:dyDescent="0.25">
      <c r="A223" s="11" t="s">
        <v>564</v>
      </c>
      <c r="B223" s="248" t="s">
        <v>565</v>
      </c>
      <c r="C223" s="248" t="s">
        <v>11</v>
      </c>
      <c r="D223" s="473">
        <f>manipulation+persuasion+BloodDis-IF(persuasion=0,1,0)+IF(OR('Character Sheet'!W72=3,'Character Sheet'!W72="1 CP"),1,0)</f>
        <v>0</v>
      </c>
      <c r="E223" s="248" t="s">
        <v>36</v>
      </c>
      <c r="F223" s="248" t="s">
        <v>195</v>
      </c>
      <c r="G223" s="248" t="s">
        <v>561</v>
      </c>
    </row>
    <row r="224" spans="1:7" ht="17.25" customHeight="1" x14ac:dyDescent="0.25">
      <c r="A224" s="11" t="s">
        <v>566</v>
      </c>
      <c r="B224" s="248" t="s">
        <v>567</v>
      </c>
      <c r="C224" s="248" t="s">
        <v>11</v>
      </c>
      <c r="D224" s="473">
        <f>presence+medicine+BloodDis-IF(medicine=0,3,0)+IF(OR('Character Sheet'!X72=3,'Character Sheet'!X72="1 CP"),1,0)</f>
        <v>-2</v>
      </c>
      <c r="E224" s="248" t="s">
        <v>36</v>
      </c>
      <c r="F224" s="248" t="s">
        <v>195</v>
      </c>
      <c r="G224" s="248" t="s">
        <v>561</v>
      </c>
    </row>
    <row r="225" spans="1:7" ht="17.25" customHeight="1" thickBot="1" x14ac:dyDescent="0.3">
      <c r="A225" s="437" t="s">
        <v>568</v>
      </c>
      <c r="B225" s="3" t="s">
        <v>569</v>
      </c>
      <c r="C225" s="3" t="s">
        <v>11</v>
      </c>
      <c r="D225" s="438">
        <f>strength+medicine+BloodDis-IF(medicine=0,3,0)+IF(OR('Character Sheet'!Y72=3,'Character Sheet'!Y72="1 CP"),1,0)</f>
        <v>-2</v>
      </c>
      <c r="E225" s="3" t="s">
        <v>36</v>
      </c>
      <c r="F225" s="3" t="s">
        <v>48</v>
      </c>
      <c r="G225" s="3" t="s">
        <v>561</v>
      </c>
    </row>
    <row r="226" spans="1:7" ht="17.25" customHeight="1" x14ac:dyDescent="0.25">
      <c r="A226" s="14" t="s">
        <v>570</v>
      </c>
      <c r="B226" s="15" t="s">
        <v>571</v>
      </c>
      <c r="C226" s="15" t="s">
        <v>11</v>
      </c>
      <c r="D226" s="16" t="s">
        <v>12</v>
      </c>
      <c r="E226" s="15" t="s">
        <v>13</v>
      </c>
      <c r="F226" s="15" t="s">
        <v>12</v>
      </c>
      <c r="G226" s="15" t="s">
        <v>572</v>
      </c>
    </row>
    <row r="227" spans="1:7" ht="17.25" customHeight="1" x14ac:dyDescent="0.25">
      <c r="A227" s="11" t="s">
        <v>573</v>
      </c>
      <c r="B227" s="248" t="s">
        <v>574</v>
      </c>
      <c r="C227" s="248" t="s">
        <v>11</v>
      </c>
      <c r="D227" s="473">
        <f>wits+intimidation+BloodDis-IF(intimidation=0,1,0)+IF(OR('Character Sheet'!V72=3,'Character Sheet'!V72="1 CP"),1,0)</f>
        <v>0</v>
      </c>
      <c r="E227" s="248" t="s">
        <v>21</v>
      </c>
      <c r="F227" s="248" t="s">
        <v>12</v>
      </c>
      <c r="G227" s="248" t="s">
        <v>572</v>
      </c>
    </row>
    <row r="228" spans="1:7" ht="17.25" customHeight="1" x14ac:dyDescent="0.25">
      <c r="A228" s="11" t="s">
        <v>575</v>
      </c>
      <c r="B228" s="248" t="s">
        <v>576</v>
      </c>
      <c r="C228" s="248" t="s">
        <v>11</v>
      </c>
      <c r="D228" s="473">
        <f>intelligence+craft+BloodDis-IF(craft=0,3,0)+IF(OR('Character Sheet'!W72=3,'Character Sheet'!W72="1 CP"),1,0)</f>
        <v>-2</v>
      </c>
      <c r="E228" s="248" t="s">
        <v>21</v>
      </c>
      <c r="F228" s="248" t="s">
        <v>12</v>
      </c>
      <c r="G228" s="248" t="s">
        <v>572</v>
      </c>
    </row>
    <row r="229" spans="1:7" ht="17.25" customHeight="1" x14ac:dyDescent="0.25">
      <c r="A229" s="11" t="s">
        <v>577</v>
      </c>
      <c r="B229" s="248" t="s">
        <v>578</v>
      </c>
      <c r="C229" s="248" t="s">
        <v>11</v>
      </c>
      <c r="D229" s="473" t="s">
        <v>12</v>
      </c>
      <c r="E229" s="248" t="s">
        <v>21</v>
      </c>
      <c r="F229" s="248" t="s">
        <v>12</v>
      </c>
      <c r="G229" s="248" t="s">
        <v>572</v>
      </c>
    </row>
    <row r="230" spans="1:7" ht="17.25" customHeight="1" thickBot="1" x14ac:dyDescent="0.3">
      <c r="A230" s="23" t="s">
        <v>579</v>
      </c>
      <c r="B230" s="24" t="s">
        <v>580</v>
      </c>
      <c r="C230" s="24" t="s">
        <v>11</v>
      </c>
      <c r="D230" s="25">
        <f>wits+subterfuge+BloodDis-IF(subterfuge=0,1,0)+IF(OR('Character Sheet'!Y72=3,'Character Sheet'!Y72="1 CP"),1,0)</f>
        <v>0</v>
      </c>
      <c r="E230" s="24" t="s">
        <v>21</v>
      </c>
      <c r="F230" s="24" t="s">
        <v>12</v>
      </c>
      <c r="G230" s="24" t="s">
        <v>572</v>
      </c>
    </row>
    <row r="231" spans="1:7" ht="17.25" customHeight="1" x14ac:dyDescent="0.25">
      <c r="A231" s="6" t="s">
        <v>1517</v>
      </c>
      <c r="B231" s="7" t="s">
        <v>1518</v>
      </c>
      <c r="C231" s="7" t="s">
        <v>1519</v>
      </c>
      <c r="D231" s="22">
        <f>intelligence+craft+BloodDis-IF(craft=0,3,0)+IF(OR('Character Sheet'!U72=3,'Character Sheet'!U72="1 CP"),1,0)</f>
        <v>-2</v>
      </c>
      <c r="E231" s="7" t="s">
        <v>46</v>
      </c>
      <c r="F231" s="7" t="s">
        <v>12</v>
      </c>
      <c r="G231" s="7" t="s">
        <v>1520</v>
      </c>
    </row>
    <row r="232" spans="1:7" ht="17.25" customHeight="1" x14ac:dyDescent="0.25">
      <c r="A232" s="11" t="s">
        <v>1521</v>
      </c>
      <c r="B232" s="248" t="s">
        <v>1518</v>
      </c>
      <c r="C232" s="248" t="s">
        <v>1519</v>
      </c>
      <c r="D232" s="473">
        <f>intelligence+craft+BloodDis-IF(craft=0,3,0)+IF(OR('Character Sheet'!V72=3,'Character Sheet'!V72="1 CP"),1,0)</f>
        <v>-2</v>
      </c>
      <c r="E232" s="248" t="s">
        <v>46</v>
      </c>
      <c r="F232" s="248" t="s">
        <v>12</v>
      </c>
      <c r="G232" s="248" t="s">
        <v>1520</v>
      </c>
    </row>
    <row r="233" spans="1:7" ht="17.25" customHeight="1" x14ac:dyDescent="0.25">
      <c r="A233" s="11" t="s">
        <v>1522</v>
      </c>
      <c r="B233" s="248" t="s">
        <v>1518</v>
      </c>
      <c r="C233" s="248" t="s">
        <v>1519</v>
      </c>
      <c r="D233" s="473">
        <f>intelligence+craft+BloodDis-IF(craft=0,3,0)+IF(OR('Character Sheet'!W72=3,'Character Sheet'!W72="1 CP"),1,0)</f>
        <v>-2</v>
      </c>
      <c r="E233" s="248" t="s">
        <v>46</v>
      </c>
      <c r="F233" s="248" t="s">
        <v>12</v>
      </c>
      <c r="G233" s="248" t="s">
        <v>1520</v>
      </c>
    </row>
    <row r="234" spans="1:7" ht="17.25" customHeight="1" x14ac:dyDescent="0.25">
      <c r="A234" s="11" t="s">
        <v>1523</v>
      </c>
      <c r="B234" s="248" t="s">
        <v>1518</v>
      </c>
      <c r="C234" s="248" t="s">
        <v>1519</v>
      </c>
      <c r="D234" s="473">
        <f>intelligence+craft+BloodDis-IF(craft=0,3,0)+IF(OR('Character Sheet'!X72=3,'Character Sheet'!X72="1 CP"),1,0)</f>
        <v>-2</v>
      </c>
      <c r="E234" s="248" t="s">
        <v>46</v>
      </c>
      <c r="F234" s="248" t="s">
        <v>12</v>
      </c>
      <c r="G234" s="248" t="s">
        <v>1520</v>
      </c>
    </row>
    <row r="235" spans="1:7" ht="17.25" customHeight="1" thickBot="1" x14ac:dyDescent="0.3">
      <c r="A235" s="437" t="s">
        <v>1524</v>
      </c>
      <c r="B235" s="3" t="s">
        <v>1518</v>
      </c>
      <c r="C235" s="3" t="s">
        <v>1519</v>
      </c>
      <c r="D235" s="438">
        <f>intelligence+craft+BloodDis-IF(craft=0,3,0)+IF(OR('Character Sheet'!Y72=3,'Character Sheet'!Y72="1 CP"),1,0)</f>
        <v>-2</v>
      </c>
      <c r="E235" s="3" t="s">
        <v>46</v>
      </c>
      <c r="F235" s="3" t="s">
        <v>12</v>
      </c>
      <c r="G235" s="3" t="s">
        <v>1520</v>
      </c>
    </row>
    <row r="236" spans="1:7" ht="17.25" customHeight="1" x14ac:dyDescent="0.25">
      <c r="A236" s="14" t="s">
        <v>581</v>
      </c>
      <c r="B236" s="15" t="s">
        <v>582</v>
      </c>
      <c r="C236" s="15" t="s">
        <v>11</v>
      </c>
      <c r="D236" s="16">
        <f>manipulation+empathy+BloodDis-IF(empathy=0,1,0)+IF(OR('Character Sheet'!U72=3,'Character Sheet'!U72="1 CP"),1,0)</f>
        <v>0</v>
      </c>
      <c r="E236" s="15" t="s">
        <v>21</v>
      </c>
      <c r="F236" s="15" t="s">
        <v>195</v>
      </c>
      <c r="G236" s="15" t="s">
        <v>583</v>
      </c>
    </row>
    <row r="237" spans="1:7" ht="17.25" customHeight="1" x14ac:dyDescent="0.25">
      <c r="A237" s="11" t="s">
        <v>584</v>
      </c>
      <c r="B237" s="248" t="s">
        <v>585</v>
      </c>
      <c r="C237" s="248" t="s">
        <v>11</v>
      </c>
      <c r="D237" s="473">
        <f>manipulation+socialize+BloodDis-IF(socialize=0,1,0)+IF(OR('Character Sheet'!V72=3,'Character Sheet'!V72="1 CP"),1,0)</f>
        <v>0</v>
      </c>
      <c r="E237" s="248" t="s">
        <v>36</v>
      </c>
      <c r="F237" s="248" t="s">
        <v>195</v>
      </c>
      <c r="G237" s="248" t="s">
        <v>583</v>
      </c>
    </row>
    <row r="238" spans="1:7" ht="17.25" customHeight="1" x14ac:dyDescent="0.25">
      <c r="A238" s="11" t="s">
        <v>586</v>
      </c>
      <c r="B238" s="248" t="s">
        <v>587</v>
      </c>
      <c r="C238" s="248" t="s">
        <v>18</v>
      </c>
      <c r="D238" s="473">
        <f>presence+intimidation+BloodDis-IF(intimidation=0,1,0)+IF(OR('Character Sheet'!W72=3,'Character Sheet'!W72="1 CP"),1,0)</f>
        <v>0</v>
      </c>
      <c r="E238" s="248" t="s">
        <v>21</v>
      </c>
      <c r="F238" s="248" t="s">
        <v>37</v>
      </c>
      <c r="G238" s="248" t="s">
        <v>583</v>
      </c>
    </row>
    <row r="239" spans="1:7" ht="17.25" customHeight="1" x14ac:dyDescent="0.25">
      <c r="A239" s="11" t="s">
        <v>588</v>
      </c>
      <c r="B239" s="248" t="s">
        <v>589</v>
      </c>
      <c r="C239" s="248" t="s">
        <v>31</v>
      </c>
      <c r="D239" s="473">
        <f>manipulation+subterfuge+BloodDis-IF(subterfuge=0,1,0)+IF(OR('Character Sheet'!X72=3,'Character Sheet'!X72="1 CP"),1,0)</f>
        <v>0</v>
      </c>
      <c r="E239" s="248" t="s">
        <v>121</v>
      </c>
      <c r="F239" s="248" t="s">
        <v>195</v>
      </c>
      <c r="G239" s="248" t="s">
        <v>583</v>
      </c>
    </row>
    <row r="240" spans="1:7" ht="17.25" customHeight="1" thickBot="1" x14ac:dyDescent="0.3">
      <c r="A240" s="23" t="s">
        <v>590</v>
      </c>
      <c r="B240" s="24" t="s">
        <v>591</v>
      </c>
      <c r="C240" s="24" t="s">
        <v>31</v>
      </c>
      <c r="D240" s="25">
        <f>manipulation+socialize+BloodDis-IF(socialize=0,1,0)+IF(OR('Character Sheet'!Y72=3,'Character Sheet'!Y72="1 CP"),1,0)</f>
        <v>0</v>
      </c>
      <c r="E240" s="24" t="s">
        <v>46</v>
      </c>
      <c r="F240" s="24" t="s">
        <v>422</v>
      </c>
      <c r="G240" s="24" t="s">
        <v>583</v>
      </c>
    </row>
    <row r="241" spans="1:7" ht="17.25" customHeight="1" x14ac:dyDescent="0.25">
      <c r="A241" s="6" t="s">
        <v>592</v>
      </c>
      <c r="B241" s="7" t="s">
        <v>593</v>
      </c>
      <c r="C241" s="7" t="s">
        <v>51</v>
      </c>
      <c r="D241" s="22">
        <f>strength+survival+BloodDis-IF(survival=0,1,0)+IF(OR('Character Sheet'!U72=3,'Character Sheet'!U72="1 CP"),1,0)</f>
        <v>0</v>
      </c>
      <c r="E241" s="7" t="s">
        <v>13</v>
      </c>
      <c r="F241" s="7" t="s">
        <v>12</v>
      </c>
      <c r="G241" s="7" t="s">
        <v>594</v>
      </c>
    </row>
    <row r="242" spans="1:7" ht="17.25" customHeight="1" x14ac:dyDescent="0.25">
      <c r="A242" s="11" t="s">
        <v>595</v>
      </c>
      <c r="B242" s="248" t="s">
        <v>596</v>
      </c>
      <c r="C242" s="248" t="s">
        <v>51</v>
      </c>
      <c r="D242" s="473" t="s">
        <v>12</v>
      </c>
      <c r="E242" s="248" t="s">
        <v>12</v>
      </c>
      <c r="F242" s="248" t="s">
        <v>12</v>
      </c>
      <c r="G242" s="248" t="s">
        <v>594</v>
      </c>
    </row>
    <row r="243" spans="1:7" ht="17.25" customHeight="1" x14ac:dyDescent="0.25">
      <c r="A243" s="11" t="s">
        <v>597</v>
      </c>
      <c r="B243" s="248" t="s">
        <v>598</v>
      </c>
      <c r="C243" s="248" t="s">
        <v>11</v>
      </c>
      <c r="D243" s="473">
        <f>dexterity+survival+BloodDis-IF(survival=0,1,0)+IF(OR('Character Sheet'!W72=3,'Character Sheet'!W72="1 CP"),1,0)</f>
        <v>0</v>
      </c>
      <c r="E243" s="248" t="s">
        <v>21</v>
      </c>
      <c r="F243" s="248" t="s">
        <v>12</v>
      </c>
      <c r="G243" s="248" t="s">
        <v>594</v>
      </c>
    </row>
    <row r="244" spans="1:7" ht="17.25" customHeight="1" x14ac:dyDescent="0.25">
      <c r="A244" s="11" t="s">
        <v>599</v>
      </c>
      <c r="B244" s="248" t="s">
        <v>600</v>
      </c>
      <c r="C244" s="248" t="s">
        <v>18</v>
      </c>
      <c r="D244" s="473">
        <f>dexterity+craft+BloodDis-IF(craft=0,1,0)+IF(OR('Character Sheet'!X72=3,'Character Sheet'!X72="1 CP"),1,0)</f>
        <v>0</v>
      </c>
      <c r="E244" s="248" t="s">
        <v>21</v>
      </c>
      <c r="F244" s="248" t="s">
        <v>12</v>
      </c>
      <c r="G244" s="248" t="s">
        <v>594</v>
      </c>
    </row>
    <row r="245" spans="1:7" ht="17.25" customHeight="1" thickBot="1" x14ac:dyDescent="0.3">
      <c r="A245" s="437" t="s">
        <v>601</v>
      </c>
      <c r="B245" s="3" t="s">
        <v>602</v>
      </c>
      <c r="C245" s="3" t="s">
        <v>18</v>
      </c>
      <c r="D245" s="438">
        <f>strength+survival+BloodDis-IF(survival=0,1,0)+IF(OR('Character Sheet'!Y72=3,'Character Sheet'!Y72="1 CP"),1,0)</f>
        <v>0</v>
      </c>
      <c r="E245" s="3" t="s">
        <v>194</v>
      </c>
      <c r="F245" s="3" t="s">
        <v>603</v>
      </c>
      <c r="G245" s="3" t="s">
        <v>594</v>
      </c>
    </row>
    <row r="246" spans="1:7" ht="17.25" customHeight="1" x14ac:dyDescent="0.25">
      <c r="A246" s="14" t="s">
        <v>604</v>
      </c>
      <c r="B246" s="15" t="s">
        <v>605</v>
      </c>
      <c r="C246" s="15" t="s">
        <v>11</v>
      </c>
      <c r="D246" s="16" t="s">
        <v>12</v>
      </c>
      <c r="E246" s="15" t="s">
        <v>12</v>
      </c>
      <c r="F246" s="15" t="s">
        <v>12</v>
      </c>
      <c r="G246" s="15" t="s">
        <v>606</v>
      </c>
    </row>
    <row r="247" spans="1:7" ht="17.25" customHeight="1" x14ac:dyDescent="0.25">
      <c r="A247" s="11" t="s">
        <v>607</v>
      </c>
      <c r="B247" s="248" t="s">
        <v>608</v>
      </c>
      <c r="C247" s="248" t="s">
        <v>11</v>
      </c>
      <c r="D247" s="473" t="s">
        <v>12</v>
      </c>
      <c r="E247" s="248" t="s">
        <v>21</v>
      </c>
      <c r="F247" s="248" t="s">
        <v>12</v>
      </c>
      <c r="G247" s="248" t="s">
        <v>606</v>
      </c>
    </row>
    <row r="248" spans="1:7" ht="17.25" customHeight="1" x14ac:dyDescent="0.25">
      <c r="A248" s="11" t="s">
        <v>609</v>
      </c>
      <c r="B248" s="248" t="s">
        <v>610</v>
      </c>
      <c r="C248" s="248" t="s">
        <v>18</v>
      </c>
      <c r="D248" s="473">
        <f>strength+occult+BloodDis-IF(occult=0,3,0)+IF(OR('Character Sheet'!W72=3,'Character Sheet'!W72="1 CP"),1,0)</f>
        <v>-2</v>
      </c>
      <c r="E248" s="248" t="s">
        <v>21</v>
      </c>
      <c r="F248" s="248" t="s">
        <v>12</v>
      </c>
      <c r="G248" s="248" t="s">
        <v>606</v>
      </c>
    </row>
    <row r="249" spans="1:7" ht="17.25" customHeight="1" x14ac:dyDescent="0.25">
      <c r="A249" s="11" t="s">
        <v>611</v>
      </c>
      <c r="B249" s="248" t="s">
        <v>612</v>
      </c>
      <c r="C249" s="248" t="s">
        <v>11</v>
      </c>
      <c r="D249" s="473">
        <f>manipulation+occult+BloodDis-IF(occult=0,3,0)+IF(OR('Character Sheet'!X72=3,'Character Sheet'!X72="1 CP"),1,0)</f>
        <v>-2</v>
      </c>
      <c r="E249" s="248" t="s">
        <v>13</v>
      </c>
      <c r="F249" s="248" t="s">
        <v>422</v>
      </c>
      <c r="G249" s="248" t="s">
        <v>606</v>
      </c>
    </row>
    <row r="250" spans="1:7" ht="17.25" customHeight="1" thickBot="1" x14ac:dyDescent="0.3">
      <c r="A250" s="23" t="s">
        <v>613</v>
      </c>
      <c r="B250" s="24" t="s">
        <v>614</v>
      </c>
      <c r="C250" s="24" t="s">
        <v>615</v>
      </c>
      <c r="D250" s="25">
        <f>presence+occult+BloodDis-IF(occult=0,3,0)+IF(OR('Character Sheet'!Y72=3,'Character Sheet'!Y72="1 CP"),1,0)</f>
        <v>-2</v>
      </c>
      <c r="E250" s="24" t="s">
        <v>616</v>
      </c>
      <c r="F250" s="24" t="s">
        <v>617</v>
      </c>
      <c r="G250" s="24" t="s">
        <v>606</v>
      </c>
    </row>
    <row r="251" spans="1:7" ht="17.25" customHeight="1" x14ac:dyDescent="0.25">
      <c r="A251" s="6" t="s">
        <v>618</v>
      </c>
      <c r="B251" s="7" t="s">
        <v>619</v>
      </c>
      <c r="C251" s="7" t="s">
        <v>620</v>
      </c>
      <c r="D251" s="22">
        <f>stamina+occult+BloodDis-IF(occult=0,3,0)+IF(OR('Character Sheet'!U72=3,'Character Sheet'!U72="1 CP"),1,0)</f>
        <v>-2</v>
      </c>
      <c r="E251" s="7" t="s">
        <v>21</v>
      </c>
      <c r="F251" s="7" t="s">
        <v>12</v>
      </c>
      <c r="G251" s="7" t="s">
        <v>621</v>
      </c>
    </row>
    <row r="252" spans="1:7" ht="17.25" customHeight="1" x14ac:dyDescent="0.25">
      <c r="A252" s="11" t="s">
        <v>622</v>
      </c>
      <c r="B252" s="248" t="s">
        <v>623</v>
      </c>
      <c r="C252" s="248" t="s">
        <v>624</v>
      </c>
      <c r="D252" s="473">
        <f>stamina+weaponry+BloodDis-IF(weaponry=0,1,0)+IF(OR('Character Sheet'!V72=3,'Character Sheet'!V72="1 CP"),1,0)</f>
        <v>0</v>
      </c>
      <c r="E252" s="248" t="s">
        <v>21</v>
      </c>
      <c r="F252" s="248" t="s">
        <v>12</v>
      </c>
      <c r="G252" s="248" t="s">
        <v>621</v>
      </c>
    </row>
    <row r="253" spans="1:7" ht="17.25" customHeight="1" x14ac:dyDescent="0.25">
      <c r="A253" s="11" t="s">
        <v>625</v>
      </c>
      <c r="B253" s="248" t="s">
        <v>626</v>
      </c>
      <c r="C253" s="248" t="s">
        <v>18</v>
      </c>
      <c r="D253" s="473" t="s">
        <v>12</v>
      </c>
      <c r="E253" s="248" t="s">
        <v>13</v>
      </c>
      <c r="F253" s="248" t="s">
        <v>12</v>
      </c>
      <c r="G253" s="248" t="s">
        <v>621</v>
      </c>
    </row>
    <row r="254" spans="1:7" ht="17.25" customHeight="1" x14ac:dyDescent="0.25">
      <c r="A254" s="11" t="s">
        <v>627</v>
      </c>
      <c r="B254" s="248" t="s">
        <v>628</v>
      </c>
      <c r="C254" s="248" t="s">
        <v>18</v>
      </c>
      <c r="D254" s="473" t="s">
        <v>12</v>
      </c>
      <c r="E254" s="248" t="s">
        <v>21</v>
      </c>
      <c r="F254" s="248" t="s">
        <v>12</v>
      </c>
      <c r="G254" s="248" t="s">
        <v>621</v>
      </c>
    </row>
    <row r="255" spans="1:7" ht="17.25" customHeight="1" thickBot="1" x14ac:dyDescent="0.3">
      <c r="A255" s="437" t="s">
        <v>629</v>
      </c>
      <c r="B255" s="3" t="s">
        <v>630</v>
      </c>
      <c r="C255" s="3" t="s">
        <v>18</v>
      </c>
      <c r="D255" s="438" t="s">
        <v>12</v>
      </c>
      <c r="E255" s="3" t="s">
        <v>21</v>
      </c>
      <c r="F255" s="3" t="s">
        <v>12</v>
      </c>
      <c r="G255" s="3" t="s">
        <v>621</v>
      </c>
    </row>
    <row r="256" spans="1:7" ht="17.25" customHeight="1" x14ac:dyDescent="0.25">
      <c r="A256" s="14" t="s">
        <v>631</v>
      </c>
      <c r="B256" s="15" t="s">
        <v>632</v>
      </c>
      <c r="C256" s="15" t="s">
        <v>51</v>
      </c>
      <c r="D256" s="16">
        <f>wits+medicine+BloodDis-IF(medicine=0,3,0)+IF(OR('Character Sheet'!U72=3,'Character Sheet'!U72="1 CP"),1,0)</f>
        <v>-2</v>
      </c>
      <c r="E256" s="15" t="s">
        <v>13</v>
      </c>
      <c r="F256" s="15" t="s">
        <v>12</v>
      </c>
      <c r="G256" s="15" t="s">
        <v>539</v>
      </c>
    </row>
    <row r="257" spans="1:7" ht="17.25" customHeight="1" x14ac:dyDescent="0.25">
      <c r="A257" s="11" t="s">
        <v>633</v>
      </c>
      <c r="B257" s="248" t="s">
        <v>634</v>
      </c>
      <c r="C257" s="248" t="s">
        <v>11</v>
      </c>
      <c r="D257" s="473">
        <f>stamina+empathy+BloodDis-IF(empathy=0,1,0)+IF(OR('Character Sheet'!V72=3,'Character Sheet'!V72="1 CP"),1,0)</f>
        <v>0</v>
      </c>
      <c r="E257" s="248" t="s">
        <v>36</v>
      </c>
      <c r="F257" s="248" t="s">
        <v>603</v>
      </c>
      <c r="G257" s="248" t="s">
        <v>539</v>
      </c>
    </row>
    <row r="258" spans="1:7" ht="17.25" customHeight="1" x14ac:dyDescent="0.25">
      <c r="A258" s="11" t="s">
        <v>635</v>
      </c>
      <c r="B258" s="248" t="s">
        <v>636</v>
      </c>
      <c r="C258" s="248" t="s">
        <v>51</v>
      </c>
      <c r="D258" s="473" t="s">
        <v>12</v>
      </c>
      <c r="E258" s="248" t="s">
        <v>12</v>
      </c>
      <c r="F258" s="248" t="s">
        <v>12</v>
      </c>
      <c r="G258" s="248" t="s">
        <v>539</v>
      </c>
    </row>
    <row r="259" spans="1:7" ht="17.25" customHeight="1" x14ac:dyDescent="0.25">
      <c r="A259" s="11" t="s">
        <v>637</v>
      </c>
      <c r="B259" s="248" t="s">
        <v>638</v>
      </c>
      <c r="C259" s="248" t="s">
        <v>11</v>
      </c>
      <c r="D259" s="473">
        <f>intelligence+empathy+BloodDis-IF(empathy=0,1,0)+IF(OR('Character Sheet'!X72=3,'Character Sheet'!X72="1 CP"),1,0)</f>
        <v>0</v>
      </c>
      <c r="E259" s="248" t="s">
        <v>36</v>
      </c>
      <c r="F259" s="248" t="s">
        <v>48</v>
      </c>
      <c r="G259" s="248" t="s">
        <v>539</v>
      </c>
    </row>
    <row r="260" spans="1:7" ht="17.25" customHeight="1" thickBot="1" x14ac:dyDescent="0.3">
      <c r="A260" s="23" t="s">
        <v>639</v>
      </c>
      <c r="B260" s="24" t="s">
        <v>640</v>
      </c>
      <c r="C260" s="24" t="s">
        <v>11</v>
      </c>
      <c r="D260" s="25">
        <f>presence+intimidation+BloodDis-IF(intimidation=0,1,0)+IF(OR('Character Sheet'!Y72=3,'Character Sheet'!Y72="1 CP"),1,0)</f>
        <v>0</v>
      </c>
      <c r="E260" s="24" t="s">
        <v>36</v>
      </c>
      <c r="F260" s="24" t="s">
        <v>48</v>
      </c>
      <c r="G260" s="24" t="s">
        <v>539</v>
      </c>
    </row>
    <row r="261" spans="1:7" ht="17.25" customHeight="1" x14ac:dyDescent="0.25">
      <c r="A261" s="213" t="s">
        <v>1525</v>
      </c>
      <c r="B261" s="8" t="str">
        <f>CONCATENATE("+",BloodDis," Supernatural Armour")</f>
        <v>+0 Supernatural Armour</v>
      </c>
      <c r="C261" s="8" t="s">
        <v>11</v>
      </c>
      <c r="D261" s="214" t="s">
        <v>12</v>
      </c>
      <c r="E261" s="8" t="s">
        <v>21</v>
      </c>
      <c r="F261" s="8" t="s">
        <v>12</v>
      </c>
      <c r="G261" s="8" t="s">
        <v>1484</v>
      </c>
    </row>
    <row r="262" spans="1:7" ht="17.25" customHeight="1" x14ac:dyDescent="0.25">
      <c r="A262" s="216" t="s">
        <v>1526</v>
      </c>
      <c r="B262" s="248" t="str">
        <f>CONCATENATE("+",BloodDis," Supernatural Armour")</f>
        <v>+0 Supernatural Armour</v>
      </c>
      <c r="C262" s="248" t="s">
        <v>11</v>
      </c>
      <c r="D262" s="473" t="s">
        <v>12</v>
      </c>
      <c r="E262" s="248" t="s">
        <v>21</v>
      </c>
      <c r="F262" s="248" t="s">
        <v>12</v>
      </c>
      <c r="G262" s="248" t="s">
        <v>1484</v>
      </c>
    </row>
    <row r="263" spans="1:7" ht="17.25" customHeight="1" x14ac:dyDescent="0.25">
      <c r="A263" s="216" t="s">
        <v>1527</v>
      </c>
      <c r="B263" s="248" t="str">
        <f>CONCATENATE("+",BloodDis," Supernatural Armour")</f>
        <v>+0 Supernatural Armour</v>
      </c>
      <c r="C263" s="248" t="s">
        <v>11</v>
      </c>
      <c r="D263" s="473" t="s">
        <v>12</v>
      </c>
      <c r="E263" s="248" t="s">
        <v>21</v>
      </c>
      <c r="F263" s="248" t="s">
        <v>12</v>
      </c>
      <c r="G263" s="248" t="s">
        <v>1484</v>
      </c>
    </row>
    <row r="264" spans="1:7" ht="17.25" customHeight="1" x14ac:dyDescent="0.25">
      <c r="A264" s="216" t="s">
        <v>1528</v>
      </c>
      <c r="B264" s="248" t="str">
        <f>CONCATENATE("+",BloodDis," Supernatural Armour")</f>
        <v>+0 Supernatural Armour</v>
      </c>
      <c r="C264" s="248" t="s">
        <v>11</v>
      </c>
      <c r="D264" s="473" t="s">
        <v>12</v>
      </c>
      <c r="E264" s="248" t="s">
        <v>21</v>
      </c>
      <c r="F264" s="248" t="s">
        <v>12</v>
      </c>
      <c r="G264" s="248" t="s">
        <v>1484</v>
      </c>
    </row>
    <row r="265" spans="1:7" ht="17.25" customHeight="1" thickBot="1" x14ac:dyDescent="0.3">
      <c r="A265" s="217" t="s">
        <v>1529</v>
      </c>
      <c r="B265" s="218" t="str">
        <f>CONCATENATE("+",BloodDis," Supernatural Armour")</f>
        <v>+0 Supernatural Armour</v>
      </c>
      <c r="C265" s="218" t="s">
        <v>11</v>
      </c>
      <c r="D265" s="219" t="s">
        <v>12</v>
      </c>
      <c r="E265" s="218" t="s">
        <v>21</v>
      </c>
      <c r="F265" s="218" t="s">
        <v>12</v>
      </c>
      <c r="G265" s="218" t="s">
        <v>1484</v>
      </c>
    </row>
    <row r="266" spans="1:7" ht="17.25" customHeight="1" x14ac:dyDescent="0.25">
      <c r="A266" s="6" t="s">
        <v>641</v>
      </c>
      <c r="B266" s="7" t="s">
        <v>642</v>
      </c>
      <c r="C266" s="7" t="s">
        <v>51</v>
      </c>
      <c r="D266" s="22">
        <f>wits+expression+BloodDis-IF(expression=0,1,0)+IF(OR('Character Sheet'!U72=3,'Character Sheet'!U72="1 CP"),1,0)</f>
        <v>0</v>
      </c>
      <c r="E266" s="7" t="s">
        <v>21</v>
      </c>
      <c r="F266" s="7" t="s">
        <v>12</v>
      </c>
      <c r="G266" s="7" t="s">
        <v>1824</v>
      </c>
    </row>
    <row r="267" spans="1:7" ht="17.25" customHeight="1" x14ac:dyDescent="0.25">
      <c r="A267" s="11" t="s">
        <v>643</v>
      </c>
      <c r="B267" s="248" t="s">
        <v>644</v>
      </c>
      <c r="C267" s="248" t="s">
        <v>11</v>
      </c>
      <c r="D267" s="473" t="s">
        <v>12</v>
      </c>
      <c r="E267" s="248" t="s">
        <v>13</v>
      </c>
      <c r="F267" s="248" t="s">
        <v>12</v>
      </c>
      <c r="G267" s="248" t="s">
        <v>1824</v>
      </c>
    </row>
    <row r="268" spans="1:7" ht="17.25" customHeight="1" x14ac:dyDescent="0.25">
      <c r="A268" s="11" t="s">
        <v>645</v>
      </c>
      <c r="B268" s="248" t="s">
        <v>646</v>
      </c>
      <c r="C268" s="248" t="s">
        <v>647</v>
      </c>
      <c r="D268" s="473" t="s">
        <v>12</v>
      </c>
      <c r="E268" s="248" t="s">
        <v>13</v>
      </c>
      <c r="F268" s="248" t="s">
        <v>12</v>
      </c>
      <c r="G268" s="248" t="s">
        <v>1824</v>
      </c>
    </row>
    <row r="269" spans="1:7" ht="17.25" customHeight="1" x14ac:dyDescent="0.25">
      <c r="A269" s="11" t="s">
        <v>648</v>
      </c>
      <c r="B269" s="248" t="s">
        <v>649</v>
      </c>
      <c r="C269" s="248" t="s">
        <v>18</v>
      </c>
      <c r="D269" s="473">
        <f>intelligence+wits+BloodDis+IF(OR('Character Sheet'!X72=3,'Character Sheet'!X72="1 CP"),1,0)</f>
        <v>2</v>
      </c>
      <c r="E269" s="248" t="s">
        <v>21</v>
      </c>
      <c r="F269" s="248" t="s">
        <v>12</v>
      </c>
      <c r="G269" s="248" t="s">
        <v>1824</v>
      </c>
    </row>
    <row r="270" spans="1:7" ht="17.25" customHeight="1" thickBot="1" x14ac:dyDescent="0.3">
      <c r="A270" s="437" t="s">
        <v>650</v>
      </c>
      <c r="B270" s="3" t="s">
        <v>651</v>
      </c>
      <c r="C270" s="3" t="s">
        <v>652</v>
      </c>
      <c r="D270" s="438">
        <f>resolve+composure+BloodDis+IF(OR('Character Sheet'!Y72=3,'Character Sheet'!Y72="1 CP"),1,0)</f>
        <v>2</v>
      </c>
      <c r="E270" s="3" t="s">
        <v>46</v>
      </c>
      <c r="F270" s="3" t="s">
        <v>12</v>
      </c>
      <c r="G270" s="3" t="s">
        <v>1824</v>
      </c>
    </row>
    <row r="271" spans="1:7" ht="17.25" customHeight="1" x14ac:dyDescent="0.25">
      <c r="A271" s="14" t="s">
        <v>1530</v>
      </c>
      <c r="B271" s="15" t="s">
        <v>1531</v>
      </c>
      <c r="C271" s="15" t="s">
        <v>18</v>
      </c>
      <c r="D271" s="16" t="s">
        <v>12</v>
      </c>
      <c r="E271" s="15" t="s">
        <v>21</v>
      </c>
      <c r="F271" s="15" t="s">
        <v>12</v>
      </c>
      <c r="G271" s="15" t="s">
        <v>1532</v>
      </c>
    </row>
    <row r="272" spans="1:7" ht="17.25" customHeight="1" x14ac:dyDescent="0.25">
      <c r="A272" s="11" t="s">
        <v>1533</v>
      </c>
      <c r="B272" s="248" t="s">
        <v>1534</v>
      </c>
      <c r="C272" s="248" t="s">
        <v>18</v>
      </c>
      <c r="D272" s="473" t="s">
        <v>12</v>
      </c>
      <c r="E272" s="248" t="s">
        <v>21</v>
      </c>
      <c r="F272" s="248" t="s">
        <v>12</v>
      </c>
      <c r="G272" s="248" t="s">
        <v>1532</v>
      </c>
    </row>
    <row r="273" spans="1:7" ht="17.25" customHeight="1" x14ac:dyDescent="0.25">
      <c r="A273" s="11" t="s">
        <v>1535</v>
      </c>
      <c r="B273" s="248" t="s">
        <v>1536</v>
      </c>
      <c r="C273" s="248" t="s">
        <v>18</v>
      </c>
      <c r="D273" s="473" t="s">
        <v>12</v>
      </c>
      <c r="E273" s="248" t="s">
        <v>21</v>
      </c>
      <c r="F273" s="248" t="s">
        <v>12</v>
      </c>
      <c r="G273" s="248" t="s">
        <v>1532</v>
      </c>
    </row>
    <row r="274" spans="1:7" ht="17.25" customHeight="1" x14ac:dyDescent="0.25">
      <c r="A274" s="11" t="s">
        <v>1537</v>
      </c>
      <c r="B274" s="248" t="s">
        <v>1538</v>
      </c>
      <c r="C274" s="248" t="s">
        <v>11</v>
      </c>
      <c r="D274" s="473">
        <f>wits+empathy+BloodDis-IF(empathy=0,1,0)+IF(OR('Character Sheet'!X72=3,'Character Sheet'!X72="1 CP"),1,0)</f>
        <v>0</v>
      </c>
      <c r="E274" s="248" t="s">
        <v>36</v>
      </c>
      <c r="F274" s="248" t="s">
        <v>37</v>
      </c>
      <c r="G274" s="248" t="s">
        <v>1532</v>
      </c>
    </row>
    <row r="275" spans="1:7" ht="17.25" customHeight="1" thickBot="1" x14ac:dyDescent="0.3">
      <c r="A275" s="23" t="s">
        <v>1539</v>
      </c>
      <c r="B275" s="24" t="s">
        <v>1540</v>
      </c>
      <c r="C275" s="24" t="s">
        <v>18</v>
      </c>
      <c r="D275" s="25" t="s">
        <v>12</v>
      </c>
      <c r="E275" s="24" t="s">
        <v>21</v>
      </c>
      <c r="F275" s="24" t="s">
        <v>12</v>
      </c>
      <c r="G275" s="24" t="s">
        <v>1532</v>
      </c>
    </row>
    <row r="276" spans="1:7" ht="17.25" customHeight="1" x14ac:dyDescent="0.25">
      <c r="A276" s="6" t="s">
        <v>653</v>
      </c>
      <c r="B276" s="7" t="s">
        <v>654</v>
      </c>
      <c r="C276" s="7" t="s">
        <v>11</v>
      </c>
      <c r="D276" s="22" t="s">
        <v>12</v>
      </c>
      <c r="E276" s="7" t="s">
        <v>13</v>
      </c>
      <c r="F276" s="7" t="s">
        <v>12</v>
      </c>
      <c r="G276" s="7" t="s">
        <v>655</v>
      </c>
    </row>
    <row r="277" spans="1:7" ht="17.25" customHeight="1" x14ac:dyDescent="0.25">
      <c r="A277" s="11" t="s">
        <v>656</v>
      </c>
      <c r="B277" s="248" t="s">
        <v>657</v>
      </c>
      <c r="C277" s="248" t="s">
        <v>31</v>
      </c>
      <c r="D277" s="473">
        <f>resolve+composure+BloodDis+IF(OR('Character Sheet'!V72=3,'Character Sheet'!V72="1 CP"),1,0)</f>
        <v>2</v>
      </c>
      <c r="E277" s="248" t="s">
        <v>46</v>
      </c>
      <c r="F277" s="248" t="s">
        <v>12</v>
      </c>
      <c r="G277" s="248" t="s">
        <v>655</v>
      </c>
    </row>
    <row r="278" spans="1:7" ht="17.25" customHeight="1" x14ac:dyDescent="0.25">
      <c r="A278" s="11" t="s">
        <v>658</v>
      </c>
      <c r="B278" s="248" t="s">
        <v>659</v>
      </c>
      <c r="C278" s="248" t="s">
        <v>31</v>
      </c>
      <c r="D278" s="473">
        <f>resolve+expression+BloodDis-IF(expression=0,1,0)+IF(OR('Character Sheet'!W72=3,'Character Sheet'!W72="1 CP"),1,0)</f>
        <v>0</v>
      </c>
      <c r="E278" s="248" t="s">
        <v>46</v>
      </c>
      <c r="F278" s="248" t="s">
        <v>12</v>
      </c>
      <c r="G278" s="248" t="s">
        <v>655</v>
      </c>
    </row>
    <row r="279" spans="1:7" ht="17.25" customHeight="1" x14ac:dyDescent="0.25">
      <c r="A279" s="11" t="s">
        <v>660</v>
      </c>
      <c r="B279" s="248" t="s">
        <v>661</v>
      </c>
      <c r="C279" s="248" t="s">
        <v>31</v>
      </c>
      <c r="D279" s="473">
        <f>resolve+occult+BloodDis-IF(occult=0,3,0)+IF(OR('Character Sheet'!X72=3,'Character Sheet'!X72="1 CP"),1,0)</f>
        <v>-2</v>
      </c>
      <c r="E279" s="248" t="s">
        <v>46</v>
      </c>
      <c r="F279" s="248" t="s">
        <v>12</v>
      </c>
      <c r="G279" s="248" t="s">
        <v>655</v>
      </c>
    </row>
    <row r="280" spans="1:7" ht="17.25" customHeight="1" thickBot="1" x14ac:dyDescent="0.3">
      <c r="A280" s="437" t="s">
        <v>662</v>
      </c>
      <c r="B280" s="3" t="s">
        <v>663</v>
      </c>
      <c r="C280" s="3" t="s">
        <v>664</v>
      </c>
      <c r="D280" s="438">
        <f>resolve+composure+BloodDis+IF(OR('Character Sheet'!Y72=3,'Character Sheet'!Y72="1 CP"),1,0)</f>
        <v>2</v>
      </c>
      <c r="E280" s="3" t="s">
        <v>46</v>
      </c>
      <c r="F280" s="3" t="s">
        <v>12</v>
      </c>
      <c r="G280" s="3" t="s">
        <v>655</v>
      </c>
    </row>
    <row r="281" spans="1:7" ht="17.25" customHeight="1" x14ac:dyDescent="0.25">
      <c r="A281" s="14" t="s">
        <v>665</v>
      </c>
      <c r="B281" s="15" t="s">
        <v>666</v>
      </c>
      <c r="C281" s="15" t="s">
        <v>18</v>
      </c>
      <c r="D281" s="16">
        <f>stamina+intimidation+BloodDis-IF(intimidation=0,1,0)+IF(OR('Character Sheet'!U72=3,'Character Sheet'!U72="1 CP"),1,0)</f>
        <v>0</v>
      </c>
      <c r="E281" s="15" t="s">
        <v>21</v>
      </c>
      <c r="F281" s="15" t="s">
        <v>12</v>
      </c>
      <c r="G281" s="15" t="s">
        <v>667</v>
      </c>
    </row>
    <row r="282" spans="1:7" ht="17.25" customHeight="1" x14ac:dyDescent="0.25">
      <c r="A282" s="11" t="s">
        <v>668</v>
      </c>
      <c r="B282" s="248" t="s">
        <v>669</v>
      </c>
      <c r="C282" s="248" t="s">
        <v>18</v>
      </c>
      <c r="D282" s="473">
        <f>resolve+empathy+BloodDis-IF(empathy=0,1,0)+IF(OR('Character Sheet'!V72=3,'Character Sheet'!V72="1 CP"),1,0)</f>
        <v>0</v>
      </c>
      <c r="E282" s="248" t="s">
        <v>21</v>
      </c>
      <c r="F282" s="248" t="s">
        <v>12</v>
      </c>
      <c r="G282" s="248" t="s">
        <v>667</v>
      </c>
    </row>
    <row r="283" spans="1:7" ht="17.25" customHeight="1" x14ac:dyDescent="0.25">
      <c r="A283" s="11" t="s">
        <v>670</v>
      </c>
      <c r="B283" s="248" t="s">
        <v>671</v>
      </c>
      <c r="C283" s="248" t="s">
        <v>18</v>
      </c>
      <c r="D283" s="473">
        <f>dexterity+empathy+BloodDis-IF(empathy=0,1,0)+IF(OR('Character Sheet'!W72=3,'Character Sheet'!W72="1 CP"),1,0)</f>
        <v>0</v>
      </c>
      <c r="E283" s="248" t="s">
        <v>21</v>
      </c>
      <c r="F283" s="248" t="s">
        <v>12</v>
      </c>
      <c r="G283" s="248" t="s">
        <v>667</v>
      </c>
    </row>
    <row r="284" spans="1:7" ht="17.25" customHeight="1" x14ac:dyDescent="0.25">
      <c r="A284" s="11" t="s">
        <v>672</v>
      </c>
      <c r="B284" s="248" t="s">
        <v>673</v>
      </c>
      <c r="C284" s="248" t="s">
        <v>18</v>
      </c>
      <c r="D284" s="473">
        <f>composure+intimidation+BloodDis-IF(intimidation=0,1,0)+IF(OR('Character Sheet'!X72=3,'Character Sheet'!X72="1 CP"),1,0)</f>
        <v>0</v>
      </c>
      <c r="E284" s="248" t="s">
        <v>21</v>
      </c>
      <c r="F284" s="248" t="s">
        <v>12</v>
      </c>
      <c r="G284" s="248" t="s">
        <v>667</v>
      </c>
    </row>
    <row r="285" spans="1:7" ht="17.25" customHeight="1" thickBot="1" x14ac:dyDescent="0.3">
      <c r="A285" s="23" t="s">
        <v>674</v>
      </c>
      <c r="B285" s="24" t="s">
        <v>675</v>
      </c>
      <c r="C285" s="24" t="s">
        <v>18</v>
      </c>
      <c r="D285" s="25">
        <f>resolve+empathy+BloodDis-IF(empathy=0,1,0)+IF(OR('Character Sheet'!Y72=3,'Character Sheet'!Y72="1 CP"),1,0)</f>
        <v>0</v>
      </c>
      <c r="E285" s="24" t="s">
        <v>21</v>
      </c>
      <c r="F285" s="24" t="s">
        <v>12</v>
      </c>
      <c r="G285" s="24" t="s">
        <v>667</v>
      </c>
    </row>
    <row r="286" spans="1:7" ht="17.25" customHeight="1" x14ac:dyDescent="0.25">
      <c r="A286" s="6" t="s">
        <v>1541</v>
      </c>
      <c r="B286" s="7" t="str">
        <f>CONCATENATE("+",BloodDis," to shared Totem")</f>
        <v>+0 to shared Totem</v>
      </c>
      <c r="C286" s="7" t="s">
        <v>11</v>
      </c>
      <c r="D286" s="22" t="s">
        <v>12</v>
      </c>
      <c r="E286" s="7" t="s">
        <v>12</v>
      </c>
      <c r="F286" s="7" t="s">
        <v>12</v>
      </c>
      <c r="G286" s="7" t="s">
        <v>1542</v>
      </c>
    </row>
    <row r="287" spans="1:7" ht="17.25" customHeight="1" x14ac:dyDescent="0.25">
      <c r="A287" s="11" t="s">
        <v>1543</v>
      </c>
      <c r="B287" s="248" t="str">
        <f>CONCATENATE("+",BloodDis," to shared Totem")</f>
        <v>+0 to shared Totem</v>
      </c>
      <c r="C287" s="248" t="s">
        <v>11</v>
      </c>
      <c r="D287" s="473" t="s">
        <v>12</v>
      </c>
      <c r="E287" s="248" t="s">
        <v>12</v>
      </c>
      <c r="F287" s="248" t="s">
        <v>12</v>
      </c>
      <c r="G287" s="248" t="s">
        <v>1542</v>
      </c>
    </row>
    <row r="288" spans="1:7" ht="17.25" customHeight="1" x14ac:dyDescent="0.25">
      <c r="A288" s="11" t="s">
        <v>1544</v>
      </c>
      <c r="B288" s="248" t="str">
        <f>CONCATENATE("+",BloodDis," to shared Totem")</f>
        <v>+0 to shared Totem</v>
      </c>
      <c r="C288" s="248" t="s">
        <v>11</v>
      </c>
      <c r="D288" s="473" t="s">
        <v>12</v>
      </c>
      <c r="E288" s="248" t="s">
        <v>12</v>
      </c>
      <c r="F288" s="248" t="s">
        <v>12</v>
      </c>
      <c r="G288" s="248" t="s">
        <v>1542</v>
      </c>
    </row>
    <row r="289" spans="1:7" ht="17.25" customHeight="1" x14ac:dyDescent="0.25">
      <c r="A289" s="11" t="s">
        <v>1545</v>
      </c>
      <c r="B289" s="248" t="str">
        <f>CONCATENATE("+",BloodDis," to shared Totem")</f>
        <v>+0 to shared Totem</v>
      </c>
      <c r="C289" s="248" t="s">
        <v>11</v>
      </c>
      <c r="D289" s="473" t="s">
        <v>12</v>
      </c>
      <c r="E289" s="248" t="s">
        <v>12</v>
      </c>
      <c r="F289" s="248" t="s">
        <v>12</v>
      </c>
      <c r="G289" s="248" t="s">
        <v>1542</v>
      </c>
    </row>
    <row r="290" spans="1:7" ht="17.25" customHeight="1" thickBot="1" x14ac:dyDescent="0.3">
      <c r="A290" s="437" t="s">
        <v>1546</v>
      </c>
      <c r="B290" s="3" t="str">
        <f>CONCATENATE("+",BloodDis," to shared Totem")</f>
        <v>+0 to shared Totem</v>
      </c>
      <c r="C290" s="3" t="s">
        <v>11</v>
      </c>
      <c r="D290" s="438" t="s">
        <v>12</v>
      </c>
      <c r="E290" s="3" t="s">
        <v>12</v>
      </c>
      <c r="F290" s="3" t="s">
        <v>12</v>
      </c>
      <c r="G290" s="3" t="s">
        <v>1542</v>
      </c>
    </row>
    <row r="291" spans="1:7" ht="17.25" customHeight="1" x14ac:dyDescent="0.25">
      <c r="A291" s="14" t="s">
        <v>676</v>
      </c>
      <c r="B291" s="15" t="s">
        <v>677</v>
      </c>
      <c r="C291" s="15" t="s">
        <v>11</v>
      </c>
      <c r="D291" s="16" t="s">
        <v>12</v>
      </c>
      <c r="E291" s="15" t="s">
        <v>12</v>
      </c>
      <c r="F291" s="15" t="s">
        <v>12</v>
      </c>
      <c r="G291" s="15" t="s">
        <v>678</v>
      </c>
    </row>
    <row r="292" spans="1:7" ht="17.25" customHeight="1" x14ac:dyDescent="0.25">
      <c r="A292" s="11" t="s">
        <v>679</v>
      </c>
      <c r="B292" s="248" t="s">
        <v>680</v>
      </c>
      <c r="C292" s="248" t="s">
        <v>51</v>
      </c>
      <c r="D292" s="473" t="s">
        <v>12</v>
      </c>
      <c r="E292" s="248" t="s">
        <v>12</v>
      </c>
      <c r="F292" s="248" t="s">
        <v>12</v>
      </c>
      <c r="G292" s="248" t="s">
        <v>678</v>
      </c>
    </row>
    <row r="293" spans="1:7" ht="17.25" customHeight="1" x14ac:dyDescent="0.25">
      <c r="A293" s="11" t="s">
        <v>681</v>
      </c>
      <c r="B293" s="248" t="s">
        <v>682</v>
      </c>
      <c r="C293" s="248" t="s">
        <v>11</v>
      </c>
      <c r="D293" s="473" t="s">
        <v>12</v>
      </c>
      <c r="E293" s="248" t="s">
        <v>12</v>
      </c>
      <c r="F293" s="248" t="s">
        <v>12</v>
      </c>
      <c r="G293" s="248" t="s">
        <v>678</v>
      </c>
    </row>
    <row r="294" spans="1:7" ht="17.25" customHeight="1" x14ac:dyDescent="0.25">
      <c r="A294" s="11" t="s">
        <v>683</v>
      </c>
      <c r="B294" s="248" t="s">
        <v>684</v>
      </c>
      <c r="C294" s="248" t="s">
        <v>55</v>
      </c>
      <c r="D294" s="473" t="s">
        <v>12</v>
      </c>
      <c r="E294" s="248" t="s">
        <v>13</v>
      </c>
      <c r="F294" s="248" t="s">
        <v>12</v>
      </c>
      <c r="G294" s="248" t="s">
        <v>678</v>
      </c>
    </row>
    <row r="295" spans="1:7" ht="17.25" customHeight="1" thickBot="1" x14ac:dyDescent="0.3">
      <c r="A295" s="23" t="s">
        <v>685</v>
      </c>
      <c r="B295" s="24" t="s">
        <v>686</v>
      </c>
      <c r="C295" s="24" t="s">
        <v>18</v>
      </c>
      <c r="D295" s="25">
        <f>stamina+brawl+BloodDis-IF(brawl=0,1,0)+IF(OR('Character Sheet'!Y72=3,'Character Sheet'!Y72="1 CP"),1,0)</f>
        <v>0</v>
      </c>
      <c r="E295" s="24" t="s">
        <v>21</v>
      </c>
      <c r="F295" s="24" t="s">
        <v>319</v>
      </c>
      <c r="G295" s="24" t="s">
        <v>678</v>
      </c>
    </row>
    <row r="296" spans="1:7" ht="17.25" customHeight="1" x14ac:dyDescent="0.25">
      <c r="A296" s="6" t="s">
        <v>687</v>
      </c>
      <c r="B296" s="7" t="s">
        <v>688</v>
      </c>
      <c r="C296" s="7" t="s">
        <v>18</v>
      </c>
      <c r="D296" s="22">
        <f>wits+subterfuge+BloodDis-IF(subterfuge=0,1,0)+IF(OR('Character Sheet'!U72=3,'Character Sheet'!U72="1 CP"),1,0)</f>
        <v>0</v>
      </c>
      <c r="E296" s="7" t="s">
        <v>360</v>
      </c>
      <c r="F296" s="7" t="s">
        <v>12</v>
      </c>
      <c r="G296" s="7" t="s">
        <v>689</v>
      </c>
    </row>
    <row r="297" spans="1:7" ht="17.25" customHeight="1" x14ac:dyDescent="0.25">
      <c r="A297" s="11" t="s">
        <v>690</v>
      </c>
      <c r="B297" s="248" t="s">
        <v>691</v>
      </c>
      <c r="C297" s="248" t="s">
        <v>11</v>
      </c>
      <c r="D297" s="473">
        <f>presence+intimidation+BloodDis-IF(intimidation=0,1,0)+IF(OR('Character Sheet'!V72=3,'Character Sheet'!V72="1 CP"),1,0)</f>
        <v>0</v>
      </c>
      <c r="E297" s="248" t="s">
        <v>21</v>
      </c>
      <c r="F297" s="248" t="s">
        <v>12</v>
      </c>
      <c r="G297" s="248" t="s">
        <v>689</v>
      </c>
    </row>
    <row r="298" spans="1:7" ht="17.25" customHeight="1" x14ac:dyDescent="0.25">
      <c r="A298" s="11" t="s">
        <v>692</v>
      </c>
      <c r="B298" s="248" t="s">
        <v>693</v>
      </c>
      <c r="C298" s="248" t="s">
        <v>11</v>
      </c>
      <c r="D298" s="473">
        <f>manipulation+empathy+BloodDis-IF(empathy=0,1,0)+IF(OR('Character Sheet'!W72=3,'Character Sheet'!W72="1 CP"),1,0)</f>
        <v>0</v>
      </c>
      <c r="E298" s="248" t="s">
        <v>21</v>
      </c>
      <c r="F298" s="248" t="s">
        <v>12</v>
      </c>
      <c r="G298" s="248" t="s">
        <v>689</v>
      </c>
    </row>
    <row r="299" spans="1:7" ht="17.25" customHeight="1" x14ac:dyDescent="0.25">
      <c r="A299" s="11" t="s">
        <v>694</v>
      </c>
      <c r="B299" s="248" t="s">
        <v>695</v>
      </c>
      <c r="C299" s="248" t="s">
        <v>11</v>
      </c>
      <c r="D299" s="473">
        <f>manipulation+subterfuge+BloodDis-IF(subterfuge=0,1,0)+IF(OR('Character Sheet'!X72=3,'Character Sheet'!X72="1 CP"),1,0)</f>
        <v>0</v>
      </c>
      <c r="E299" s="248" t="s">
        <v>13</v>
      </c>
      <c r="F299" s="248" t="s">
        <v>12</v>
      </c>
      <c r="G299" s="248" t="s">
        <v>689</v>
      </c>
    </row>
    <row r="300" spans="1:7" ht="17.25" customHeight="1" thickBot="1" x14ac:dyDescent="0.3">
      <c r="A300" s="437" t="s">
        <v>696</v>
      </c>
      <c r="B300" s="3" t="s">
        <v>697</v>
      </c>
      <c r="C300" s="3" t="s">
        <v>18</v>
      </c>
      <c r="D300" s="438">
        <f>intelligence+occult+BloodDis-IF(occult=0,3,0)+IF(OR('Character Sheet'!Y72=3,'Character Sheet'!Y72="1 CP"),1,0)</f>
        <v>-2</v>
      </c>
      <c r="E300" s="3" t="s">
        <v>21</v>
      </c>
      <c r="F300" s="3" t="s">
        <v>12</v>
      </c>
      <c r="G300" s="3" t="s">
        <v>689</v>
      </c>
    </row>
    <row r="301" spans="1:7" ht="17.25" customHeight="1" x14ac:dyDescent="0.25">
      <c r="A301" s="14" t="s">
        <v>1547</v>
      </c>
      <c r="B301" s="15" t="str">
        <f>CONCATENATE("+",BloodDis," to all Presence and Manipulation tests")</f>
        <v>+0 to all Presence and Manipulation tests</v>
      </c>
      <c r="C301" s="15" t="s">
        <v>11</v>
      </c>
      <c r="D301" s="16">
        <f>presence+occult+BloodDis-IF(occult=0,3,0)+IF(OR('Character Sheet'!U72=3,'Character Sheet'!U72="1 CP"),1,0)</f>
        <v>-2</v>
      </c>
      <c r="E301" s="15" t="s">
        <v>36</v>
      </c>
      <c r="F301" s="15" t="s">
        <v>195</v>
      </c>
      <c r="G301" s="15" t="s">
        <v>1548</v>
      </c>
    </row>
    <row r="302" spans="1:7" ht="17.25" customHeight="1" x14ac:dyDescent="0.25">
      <c r="A302" s="11" t="s">
        <v>1549</v>
      </c>
      <c r="B302" s="248" t="str">
        <f>CONCATENATE("+",BloodDis," to all Presence and Manipulation tests")</f>
        <v>+0 to all Presence and Manipulation tests</v>
      </c>
      <c r="C302" s="248" t="s">
        <v>91</v>
      </c>
      <c r="D302" s="473">
        <f>presence+occult+BloodDis-IF(occult=0,3,0)+IF(OR('Character Sheet'!V72=3,'Character Sheet'!V72="1 CP"),1,0)</f>
        <v>-2</v>
      </c>
      <c r="E302" s="248" t="s">
        <v>36</v>
      </c>
      <c r="F302" s="248" t="s">
        <v>195</v>
      </c>
      <c r="G302" s="248" t="s">
        <v>1548</v>
      </c>
    </row>
    <row r="303" spans="1:7" ht="17.25" customHeight="1" x14ac:dyDescent="0.25">
      <c r="A303" s="11" t="s">
        <v>1550</v>
      </c>
      <c r="B303" s="248" t="str">
        <f>CONCATENATE("+",BloodDis," to all Presence and Manipulation tests")</f>
        <v>+0 to all Presence and Manipulation tests</v>
      </c>
      <c r="C303" s="248" t="s">
        <v>91</v>
      </c>
      <c r="D303" s="473">
        <f>presence+occult+BloodDis-IF(occult=0,3,0)+IF(OR('Character Sheet'!W72=3,'Character Sheet'!W72="1 CP"),1,0)</f>
        <v>-2</v>
      </c>
      <c r="E303" s="248" t="s">
        <v>36</v>
      </c>
      <c r="F303" s="248" t="s">
        <v>195</v>
      </c>
      <c r="G303" s="248" t="s">
        <v>1548</v>
      </c>
    </row>
    <row r="304" spans="1:7" ht="17.25" customHeight="1" x14ac:dyDescent="0.25">
      <c r="A304" s="11" t="s">
        <v>1551</v>
      </c>
      <c r="B304" s="248" t="str">
        <f>CONCATENATE("+",BloodDis," to all Presence and Manipulation tests")</f>
        <v>+0 to all Presence and Manipulation tests</v>
      </c>
      <c r="C304" s="248" t="s">
        <v>1400</v>
      </c>
      <c r="D304" s="473">
        <f>presence+occult+BloodDis-IF(occult=0,3,0)+IF(OR('Character Sheet'!X72=3,'Character Sheet'!X72="1 CP"),1,0)</f>
        <v>-2</v>
      </c>
      <c r="E304" s="248" t="s">
        <v>36</v>
      </c>
      <c r="F304" s="248" t="s">
        <v>195</v>
      </c>
      <c r="G304" s="248" t="s">
        <v>1548</v>
      </c>
    </row>
    <row r="305" spans="1:7" ht="17.25" customHeight="1" thickBot="1" x14ac:dyDescent="0.3">
      <c r="A305" s="437" t="s">
        <v>1552</v>
      </c>
      <c r="B305" s="3" t="str">
        <f>CONCATENATE("+",BloodDis," to all Presence and Manipulation tests")</f>
        <v>+0 to all Presence and Manipulation tests</v>
      </c>
      <c r="C305" s="3" t="s">
        <v>1400</v>
      </c>
      <c r="D305" s="438">
        <f>presence+occult+BloodDis-IF(occult=0,3,0)+IF(OR('Character Sheet'!Y72=3,'Character Sheet'!Y72="1 CP"),1,0)</f>
        <v>-2</v>
      </c>
      <c r="E305" s="3" t="s">
        <v>36</v>
      </c>
      <c r="F305" s="3" t="s">
        <v>195</v>
      </c>
      <c r="G305" s="3" t="s">
        <v>1548</v>
      </c>
    </row>
    <row r="306" spans="1:7" ht="17.25" customHeight="1" x14ac:dyDescent="0.25">
      <c r="A306" s="14" t="s">
        <v>698</v>
      </c>
      <c r="B306" s="15" t="s">
        <v>699</v>
      </c>
      <c r="C306" s="15" t="s">
        <v>51</v>
      </c>
      <c r="D306" s="16">
        <f>presence+persuasion+BloodDis-IF(persuasion=0,1,0)+IF(OR('Character Sheet'!U72=3,'Character Sheet'!U72="1 CP"),1,0)</f>
        <v>0</v>
      </c>
      <c r="E306" s="15" t="s">
        <v>21</v>
      </c>
      <c r="F306" s="15" t="s">
        <v>12</v>
      </c>
      <c r="G306" s="15" t="s">
        <v>700</v>
      </c>
    </row>
    <row r="307" spans="1:7" ht="17.25" customHeight="1" x14ac:dyDescent="0.25">
      <c r="A307" s="11" t="s">
        <v>701</v>
      </c>
      <c r="B307" s="248" t="s">
        <v>702</v>
      </c>
      <c r="C307" s="248" t="s">
        <v>11</v>
      </c>
      <c r="D307" s="473">
        <f>composure+empathy+BloodDis-IF(empathy=0,1,0)+IF(OR('Character Sheet'!V72=3,'Character Sheet'!V72="1 CP"),1,0)</f>
        <v>0</v>
      </c>
      <c r="E307" s="248" t="s">
        <v>21</v>
      </c>
      <c r="F307" s="248" t="s">
        <v>12</v>
      </c>
      <c r="G307" s="248" t="s">
        <v>700</v>
      </c>
    </row>
    <row r="308" spans="1:7" ht="17.25" customHeight="1" x14ac:dyDescent="0.25">
      <c r="A308" s="11" t="s">
        <v>703</v>
      </c>
      <c r="B308" s="248" t="s">
        <v>704</v>
      </c>
      <c r="C308" s="248" t="s">
        <v>11</v>
      </c>
      <c r="D308" s="473">
        <f>manipulation+subterfuge+BloodDis-IF(subterfuge=0,1,0)+IF(OR('Character Sheet'!W72=3,'Character Sheet'!W72="1 CP"),1,0)</f>
        <v>0</v>
      </c>
      <c r="E308" s="248" t="s">
        <v>36</v>
      </c>
      <c r="F308" s="248" t="s">
        <v>195</v>
      </c>
      <c r="G308" s="248" t="s">
        <v>700</v>
      </c>
    </row>
    <row r="309" spans="1:7" ht="17.25" customHeight="1" thickBot="1" x14ac:dyDescent="0.3">
      <c r="A309" s="11" t="s">
        <v>705</v>
      </c>
      <c r="B309" s="248" t="s">
        <v>706</v>
      </c>
      <c r="C309" s="248" t="s">
        <v>11</v>
      </c>
      <c r="D309" s="473">
        <f>wits+empathy+BloodDis-IF(empathy=0,1,0)+IF(OR('Character Sheet'!X72=3,'Character Sheet'!X72="1 CP"),1,0)</f>
        <v>0</v>
      </c>
      <c r="E309" s="248" t="s">
        <v>21</v>
      </c>
      <c r="F309" s="248" t="s">
        <v>12</v>
      </c>
      <c r="G309" s="248" t="s">
        <v>700</v>
      </c>
    </row>
    <row r="310" spans="1:7" ht="17.25" customHeight="1" x14ac:dyDescent="0.25">
      <c r="A310" s="6" t="s">
        <v>1553</v>
      </c>
      <c r="B310" s="7" t="s">
        <v>1554</v>
      </c>
      <c r="C310" s="7" t="s">
        <v>11</v>
      </c>
      <c r="D310" s="22">
        <f>stamina+intimidation+BloodDis-IF(intimidation=0,1,0)+IF(OR('Character Sheet'!U72=3,'Character Sheet'!U72="1 CP"),1,0)</f>
        <v>0</v>
      </c>
      <c r="E310" s="7" t="s">
        <v>21</v>
      </c>
      <c r="F310" s="7" t="s">
        <v>12</v>
      </c>
      <c r="G310" s="7" t="s">
        <v>1555</v>
      </c>
    </row>
    <row r="311" spans="1:7" ht="17.25" customHeight="1" x14ac:dyDescent="0.25">
      <c r="A311" s="11" t="s">
        <v>1556</v>
      </c>
      <c r="B311" s="248" t="s">
        <v>1557</v>
      </c>
      <c r="C311" s="248" t="s">
        <v>11</v>
      </c>
      <c r="D311" s="473">
        <f>strength+athletics+BloodDis-IF(athletics=0,1,0)+IF(OR('Character Sheet'!V72=3,'Character Sheet'!V72="1 CP"),1,0)</f>
        <v>0</v>
      </c>
      <c r="E311" s="248" t="s">
        <v>21</v>
      </c>
      <c r="F311" s="248" t="s">
        <v>12</v>
      </c>
      <c r="G311" s="248" t="s">
        <v>1555</v>
      </c>
    </row>
    <row r="312" spans="1:7" ht="17.25" customHeight="1" x14ac:dyDescent="0.25">
      <c r="A312" s="11" t="s">
        <v>1558</v>
      </c>
      <c r="B312" s="248" t="s">
        <v>1559</v>
      </c>
      <c r="C312" s="248" t="s">
        <v>11</v>
      </c>
      <c r="D312" s="473">
        <f>dexterity+athletics+BloodDis-IF(athletics=0,1,0)+IF(OR('Character Sheet'!W72=3,'Character Sheet'!W72="1 CP"),1,0)</f>
        <v>0</v>
      </c>
      <c r="E312" s="248" t="s">
        <v>21</v>
      </c>
      <c r="F312" s="248" t="s">
        <v>12</v>
      </c>
      <c r="G312" s="248" t="s">
        <v>1555</v>
      </c>
    </row>
    <row r="313" spans="1:7" ht="17.25" customHeight="1" x14ac:dyDescent="0.25">
      <c r="A313" s="11" t="s">
        <v>1560</v>
      </c>
      <c r="B313" s="248" t="s">
        <v>1561</v>
      </c>
      <c r="C313" s="248" t="s">
        <v>11</v>
      </c>
      <c r="D313" s="473">
        <f>dexterity+athletics+BloodDis-IF(athletics=0,1,0)+IF(OR('Character Sheet'!X72=3,'Character Sheet'!X72="1 CP"),1,0)</f>
        <v>0</v>
      </c>
      <c r="E313" s="248" t="s">
        <v>21</v>
      </c>
      <c r="F313" s="248" t="s">
        <v>12</v>
      </c>
      <c r="G313" s="248" t="s">
        <v>1555</v>
      </c>
    </row>
    <row r="314" spans="1:7" ht="17.25" customHeight="1" thickBot="1" x14ac:dyDescent="0.3">
      <c r="A314" s="437" t="s">
        <v>1562</v>
      </c>
      <c r="B314" s="3" t="s">
        <v>1563</v>
      </c>
      <c r="C314" s="3" t="s">
        <v>11</v>
      </c>
      <c r="D314" s="438">
        <f>dexterity+medicine+BloodDis-IF(medicine=0,3,0)+IF(OR('Character Sheet'!Y72=3,'Character Sheet'!Y72="1 CP"),1,0)</f>
        <v>-2</v>
      </c>
      <c r="E314" s="3" t="s">
        <v>194</v>
      </c>
      <c r="F314" s="3" t="s">
        <v>1564</v>
      </c>
      <c r="G314" s="3" t="s">
        <v>1555</v>
      </c>
    </row>
    <row r="315" spans="1:7" ht="17.25" customHeight="1" x14ac:dyDescent="0.25">
      <c r="A315" s="6" t="s">
        <v>1565</v>
      </c>
      <c r="B315" s="7" t="s">
        <v>1566</v>
      </c>
      <c r="C315" s="7" t="s">
        <v>51</v>
      </c>
      <c r="D315" s="22">
        <f>presence+socialize+BloodDis-IF(socialize=0,1,0)+IF(OR('Character Sheet'!U72=3,'Character Sheet'!U72="1 CP"),1,0)</f>
        <v>0</v>
      </c>
      <c r="E315" s="7" t="s">
        <v>21</v>
      </c>
      <c r="F315" s="7" t="s">
        <v>12</v>
      </c>
      <c r="G315" s="7" t="s">
        <v>1484</v>
      </c>
    </row>
    <row r="316" spans="1:7" ht="17.25" customHeight="1" x14ac:dyDescent="0.25">
      <c r="A316" s="11" t="s">
        <v>1567</v>
      </c>
      <c r="B316" s="248" t="s">
        <v>1568</v>
      </c>
      <c r="C316" s="248" t="s">
        <v>11</v>
      </c>
      <c r="D316" s="473">
        <f>wits+empathy+BloodDis-IF(empathy=0,1,0)+IF(OR('Character Sheet'!V72=3,'Character Sheet'!V72="1 CP"),1,0)</f>
        <v>0</v>
      </c>
      <c r="E316" s="248" t="s">
        <v>194</v>
      </c>
      <c r="F316" s="248" t="s">
        <v>1569</v>
      </c>
      <c r="G316" s="248" t="s">
        <v>1484</v>
      </c>
    </row>
    <row r="317" spans="1:7" ht="17.25" customHeight="1" x14ac:dyDescent="0.25">
      <c r="A317" s="11" t="s">
        <v>1570</v>
      </c>
      <c r="B317" s="248" t="s">
        <v>1571</v>
      </c>
      <c r="C317" s="248" t="s">
        <v>18</v>
      </c>
      <c r="D317" s="473">
        <f>wits+survival+BloodDis-IF(survival=0,1,0)+IF(OR('Character Sheet'!W72=3,'Character Sheet'!W72="1 CP"),1,0)</f>
        <v>0</v>
      </c>
      <c r="E317" s="248" t="s">
        <v>21</v>
      </c>
      <c r="F317" s="248" t="s">
        <v>12</v>
      </c>
      <c r="G317" s="248" t="s">
        <v>1484</v>
      </c>
    </row>
    <row r="318" spans="1:7" ht="17.25" customHeight="1" x14ac:dyDescent="0.25">
      <c r="A318" s="11" t="s">
        <v>1572</v>
      </c>
      <c r="B318" s="248" t="s">
        <v>1573</v>
      </c>
      <c r="C318" s="248" t="s">
        <v>18</v>
      </c>
      <c r="D318" s="473">
        <f>resolve+streetwise+BloodDis-IF(streetwise=0,1,0)+IF(OR('Character Sheet'!X72=3,'Character Sheet'!X72="1 CP"),1,0)</f>
        <v>0</v>
      </c>
      <c r="E318" s="248" t="s">
        <v>21</v>
      </c>
      <c r="F318" s="248" t="s">
        <v>12</v>
      </c>
      <c r="G318" s="248" t="s">
        <v>1484</v>
      </c>
    </row>
    <row r="319" spans="1:7" ht="17.25" customHeight="1" thickBot="1" x14ac:dyDescent="0.3">
      <c r="A319" s="437" t="s">
        <v>1574</v>
      </c>
      <c r="B319" s="3" t="s">
        <v>1575</v>
      </c>
      <c r="C319" s="3" t="s">
        <v>1443</v>
      </c>
      <c r="D319" s="438">
        <f>presence+socialize+BloodDis-IF(socialize=0,1,0)+IF(OR('Character Sheet'!Y72=3,'Character Sheet'!Y72="1 CP"),1,0)</f>
        <v>0</v>
      </c>
      <c r="E319" s="3" t="s">
        <v>21</v>
      </c>
      <c r="F319" s="3" t="s">
        <v>12</v>
      </c>
      <c r="G319" s="3" t="s">
        <v>1484</v>
      </c>
    </row>
    <row r="320" spans="1:7" ht="17.25" customHeight="1" x14ac:dyDescent="0.25">
      <c r="A320" s="14" t="s">
        <v>707</v>
      </c>
      <c r="B320" s="15" t="s">
        <v>708</v>
      </c>
      <c r="C320" s="15" t="s">
        <v>51</v>
      </c>
      <c r="D320" s="16">
        <f>presence+empathy+BloodDis-IF(empathy=0,1,0)+IF(OR('Character Sheet'!U72=3,'Character Sheet'!U72="1 CP"),1,0)</f>
        <v>0</v>
      </c>
      <c r="E320" s="15" t="s">
        <v>21</v>
      </c>
      <c r="F320" s="15" t="s">
        <v>12</v>
      </c>
      <c r="G320" s="15" t="s">
        <v>709</v>
      </c>
    </row>
    <row r="321" spans="1:7" ht="17.25" customHeight="1" x14ac:dyDescent="0.25">
      <c r="A321" s="11" t="s">
        <v>710</v>
      </c>
      <c r="B321" s="248" t="s">
        <v>711</v>
      </c>
      <c r="C321" s="248" t="s">
        <v>11</v>
      </c>
      <c r="D321" s="473">
        <f>presence+expression+BloodDis-IF(expression=0,1,0)+IF(OR('Character Sheet'!V72=3,'Character Sheet'!V72="1 CP"),1,0)</f>
        <v>0</v>
      </c>
      <c r="E321" s="248" t="s">
        <v>36</v>
      </c>
      <c r="F321" s="248" t="s">
        <v>195</v>
      </c>
      <c r="G321" s="248" t="s">
        <v>709</v>
      </c>
    </row>
    <row r="322" spans="1:7" ht="17.25" customHeight="1" x14ac:dyDescent="0.25">
      <c r="A322" s="11" t="s">
        <v>712</v>
      </c>
      <c r="B322" s="248" t="s">
        <v>713</v>
      </c>
      <c r="C322" s="248" t="s">
        <v>11</v>
      </c>
      <c r="D322" s="473">
        <f>manipulation+expression+BloodDis-IF(expression=0,1,0)+IF(OR('Character Sheet'!W72=3,'Character Sheet'!W72="1 CP"),1,0)</f>
        <v>0</v>
      </c>
      <c r="E322" s="248" t="s">
        <v>21</v>
      </c>
      <c r="F322" s="248" t="s">
        <v>195</v>
      </c>
      <c r="G322" s="248" t="s">
        <v>709</v>
      </c>
    </row>
    <row r="323" spans="1:7" ht="17.25" customHeight="1" x14ac:dyDescent="0.25">
      <c r="A323" s="11" t="s">
        <v>714</v>
      </c>
      <c r="B323" s="248" t="s">
        <v>715</v>
      </c>
      <c r="C323" s="248" t="s">
        <v>18</v>
      </c>
      <c r="D323" s="473">
        <f>manipulation+expression+BloodDis-IF(expression=0,1,0)+IF(OR('Character Sheet'!X72=3,'Character Sheet'!X72="1 CP"),1,0)</f>
        <v>0</v>
      </c>
      <c r="E323" s="248" t="s">
        <v>46</v>
      </c>
      <c r="F323" s="248" t="s">
        <v>716</v>
      </c>
      <c r="G323" s="248" t="s">
        <v>709</v>
      </c>
    </row>
    <row r="324" spans="1:7" ht="17.25" customHeight="1" thickBot="1" x14ac:dyDescent="0.3">
      <c r="A324" s="23" t="s">
        <v>717</v>
      </c>
      <c r="B324" s="24" t="s">
        <v>718</v>
      </c>
      <c r="C324" s="24" t="s">
        <v>18</v>
      </c>
      <c r="D324" s="25">
        <f>presence+expression+BloodDis-IF(expression=0,1,0)+IF(OR('Character Sheet'!Y72=3,'Character Sheet'!Y72="1 CP"),1,0)</f>
        <v>0</v>
      </c>
      <c r="E324" s="24" t="s">
        <v>36</v>
      </c>
      <c r="F324" s="24" t="s">
        <v>195</v>
      </c>
      <c r="G324" s="24" t="s">
        <v>709</v>
      </c>
    </row>
    <row r="325" spans="1:7" ht="17.25" customHeight="1" x14ac:dyDescent="0.25">
      <c r="A325" s="6" t="s">
        <v>719</v>
      </c>
      <c r="B325" s="7" t="s">
        <v>720</v>
      </c>
      <c r="C325" s="7" t="s">
        <v>11</v>
      </c>
      <c r="D325" s="22">
        <f>wits+empathy+BloodDis-IF(empathy=0,1,0)+IF(OR('Character Sheet'!U72=3,'Character Sheet'!U72="1 CP"),1,0)</f>
        <v>0</v>
      </c>
      <c r="E325" s="7" t="s">
        <v>616</v>
      </c>
      <c r="F325" s="7" t="s">
        <v>422</v>
      </c>
      <c r="G325" s="7" t="s">
        <v>721</v>
      </c>
    </row>
    <row r="326" spans="1:7" ht="17.25" customHeight="1" x14ac:dyDescent="0.25">
      <c r="A326" s="11" t="s">
        <v>722</v>
      </c>
      <c r="B326" s="248" t="s">
        <v>723</v>
      </c>
      <c r="C326" s="248" t="s">
        <v>55</v>
      </c>
      <c r="D326" s="473" t="s">
        <v>12</v>
      </c>
      <c r="E326" s="248" t="s">
        <v>12</v>
      </c>
      <c r="F326" s="248" t="s">
        <v>12</v>
      </c>
      <c r="G326" s="248" t="s">
        <v>721</v>
      </c>
    </row>
    <row r="327" spans="1:7" ht="17.25" customHeight="1" x14ac:dyDescent="0.25">
      <c r="A327" s="11" t="s">
        <v>724</v>
      </c>
      <c r="B327" s="248" t="s">
        <v>725</v>
      </c>
      <c r="C327" s="248" t="s">
        <v>18</v>
      </c>
      <c r="D327" s="473">
        <f>presence+intimidation+BloodDis-IF(intimidation=0,1,0)+IF(OR('Character Sheet'!W72=3,'Character Sheet'!W72="1 CP"),1,0)</f>
        <v>0</v>
      </c>
      <c r="E327" s="248" t="s">
        <v>36</v>
      </c>
      <c r="F327" s="248" t="s">
        <v>37</v>
      </c>
      <c r="G327" s="248" t="s">
        <v>721</v>
      </c>
    </row>
    <row r="328" spans="1:7" ht="17.25" customHeight="1" x14ac:dyDescent="0.25">
      <c r="A328" s="11" t="s">
        <v>726</v>
      </c>
      <c r="B328" s="248" t="s">
        <v>727</v>
      </c>
      <c r="C328" s="248" t="s">
        <v>125</v>
      </c>
      <c r="D328" s="473">
        <f>strength+animalken+BloodDis-IF(animalken=0,1,0)+IF(OR('Character Sheet'!X72=3,'Character Sheet'!X72="1 CP"),1,0)</f>
        <v>0</v>
      </c>
      <c r="E328" s="248" t="s">
        <v>21</v>
      </c>
      <c r="F328" s="248" t="s">
        <v>12</v>
      </c>
      <c r="G328" s="248" t="s">
        <v>721</v>
      </c>
    </row>
    <row r="329" spans="1:7" ht="17.25" customHeight="1" thickBot="1" x14ac:dyDescent="0.3">
      <c r="A329" s="23" t="s">
        <v>728</v>
      </c>
      <c r="B329" s="24" t="s">
        <v>729</v>
      </c>
      <c r="C329" s="24" t="s">
        <v>18</v>
      </c>
      <c r="D329" s="25">
        <f>wits+occult+BloodDis-IF(occult=0,3,0)+IF(OR('Character Sheet'!Y72=3,'Character Sheet'!Y72="1 CP"),1,0)</f>
        <v>-2</v>
      </c>
      <c r="E329" s="24" t="s">
        <v>21</v>
      </c>
      <c r="F329" s="24" t="s">
        <v>12</v>
      </c>
      <c r="G329" s="24" t="s">
        <v>721</v>
      </c>
    </row>
    <row r="330" spans="1:7" ht="17.25" customHeight="1" thickBot="1" x14ac:dyDescent="0.3">
      <c r="A330" s="214"/>
      <c r="B330" s="214"/>
      <c r="C330" s="214"/>
      <c r="D330" s="214"/>
      <c r="E330" s="214"/>
      <c r="F330" s="214"/>
      <c r="G330" s="214"/>
    </row>
    <row r="331" spans="1:7" ht="17.25" customHeight="1" x14ac:dyDescent="0.25">
      <c r="A331" s="7" t="s">
        <v>2012</v>
      </c>
      <c r="B331" s="7" t="s">
        <v>2011</v>
      </c>
      <c r="C331" s="7" t="s">
        <v>51</v>
      </c>
      <c r="D331" s="7" t="s">
        <v>12</v>
      </c>
      <c r="E331" s="7" t="s">
        <v>46</v>
      </c>
      <c r="F331" s="7" t="s">
        <v>12</v>
      </c>
      <c r="G331" s="7" t="s">
        <v>2312</v>
      </c>
    </row>
    <row r="332" spans="1:7" ht="17.25" customHeight="1" x14ac:dyDescent="0.25">
      <c r="A332" s="248" t="s">
        <v>2013</v>
      </c>
      <c r="B332" s="248" t="s">
        <v>2011</v>
      </c>
      <c r="C332" s="248" t="s">
        <v>51</v>
      </c>
      <c r="D332" s="248" t="s">
        <v>12</v>
      </c>
      <c r="E332" s="248" t="s">
        <v>46</v>
      </c>
      <c r="F332" s="248" t="s">
        <v>12</v>
      </c>
      <c r="G332" s="248" t="s">
        <v>2312</v>
      </c>
    </row>
    <row r="333" spans="1:7" ht="17.25" customHeight="1" x14ac:dyDescent="0.25">
      <c r="A333" s="248" t="s">
        <v>2014</v>
      </c>
      <c r="B333" s="248" t="s">
        <v>2011</v>
      </c>
      <c r="C333" s="248" t="s">
        <v>51</v>
      </c>
      <c r="D333" s="248" t="s">
        <v>12</v>
      </c>
      <c r="E333" s="248" t="s">
        <v>46</v>
      </c>
      <c r="F333" s="248" t="s">
        <v>12</v>
      </c>
      <c r="G333" s="248" t="s">
        <v>2312</v>
      </c>
    </row>
    <row r="334" spans="1:7" ht="17.25" customHeight="1" x14ac:dyDescent="0.25">
      <c r="A334" s="248" t="s">
        <v>2015</v>
      </c>
      <c r="B334" s="248" t="s">
        <v>2011</v>
      </c>
      <c r="C334" s="248" t="s">
        <v>51</v>
      </c>
      <c r="D334" s="248" t="s">
        <v>12</v>
      </c>
      <c r="E334" s="248" t="s">
        <v>46</v>
      </c>
      <c r="F334" s="248" t="s">
        <v>12</v>
      </c>
      <c r="G334" s="248" t="s">
        <v>2312</v>
      </c>
    </row>
    <row r="335" spans="1:7" ht="17.25" customHeight="1" thickBot="1" x14ac:dyDescent="0.3">
      <c r="A335" s="3" t="s">
        <v>2016</v>
      </c>
      <c r="B335" s="3" t="s">
        <v>2011</v>
      </c>
      <c r="C335" s="3" t="s">
        <v>51</v>
      </c>
      <c r="D335" s="3" t="s">
        <v>12</v>
      </c>
      <c r="E335" s="3" t="s">
        <v>46</v>
      </c>
      <c r="F335" s="3" t="s">
        <v>12</v>
      </c>
      <c r="G335" s="3" t="s">
        <v>2312</v>
      </c>
    </row>
    <row r="336" spans="1:7" ht="17.25" customHeight="1" x14ac:dyDescent="0.25">
      <c r="A336" s="6" t="s">
        <v>1576</v>
      </c>
      <c r="B336" s="8" t="str">
        <f>CONCATENATE("-",spoiling," to all tests involving"," ",'Character Sheet'!R79)</f>
        <v xml:space="preserve">-0 to all tests involving </v>
      </c>
      <c r="C336" s="22" t="s">
        <v>11</v>
      </c>
      <c r="D336" s="7">
        <f>stamina+occult+spoiling-IF(occult=0,3,0)+IF(OR('Character Sheet'!U71=3,'Character Sheet'!U71="1 CP"),1,0)</f>
        <v>-2</v>
      </c>
      <c r="E336" s="22" t="s">
        <v>121</v>
      </c>
      <c r="F336" s="7" t="s">
        <v>37</v>
      </c>
      <c r="G336" s="9" t="s">
        <v>1577</v>
      </c>
    </row>
    <row r="337" spans="1:7" ht="17.25" customHeight="1" x14ac:dyDescent="0.25">
      <c r="A337" s="11" t="s">
        <v>1578</v>
      </c>
      <c r="B337" s="248" t="str">
        <f>CONCATENATE("-",spoiling," to all tests involving"," ",'Character Sheet'!R80)</f>
        <v xml:space="preserve">-0 to all tests involving </v>
      </c>
      <c r="C337" s="473" t="s">
        <v>11</v>
      </c>
      <c r="D337" s="248">
        <f>stamina+occult+spoiling-IF(occult=0,3,0)+IF(OR('Character Sheet'!V71=3,'Character Sheet'!V71="1 CP"),1,0)</f>
        <v>-2</v>
      </c>
      <c r="E337" s="473" t="s">
        <v>121</v>
      </c>
      <c r="F337" s="248" t="s">
        <v>37</v>
      </c>
      <c r="G337" s="12" t="s">
        <v>1577</v>
      </c>
    </row>
    <row r="338" spans="1:7" ht="17.25" customHeight="1" x14ac:dyDescent="0.25">
      <c r="A338" s="11" t="s">
        <v>1579</v>
      </c>
      <c r="B338" s="24" t="str">
        <f>CONCATENATE("-",spoiling," to all tests involving"," ",'Character Sheet'!R81)</f>
        <v xml:space="preserve">-0 to all tests involving </v>
      </c>
      <c r="C338" s="473" t="s">
        <v>11</v>
      </c>
      <c r="D338" s="248">
        <f>stamina+occult+spoiling-IF(occult=0,3,0)+IF(OR('Character Sheet'!W71=3,'Character Sheet'!W71="1 CP"),1,0)</f>
        <v>-2</v>
      </c>
      <c r="E338" s="473" t="s">
        <v>121</v>
      </c>
      <c r="F338" s="248" t="s">
        <v>37</v>
      </c>
      <c r="G338" s="12" t="s">
        <v>1577</v>
      </c>
    </row>
    <row r="339" spans="1:7" ht="17.25" customHeight="1" x14ac:dyDescent="0.25">
      <c r="A339" s="11" t="s">
        <v>1580</v>
      </c>
      <c r="B339" s="24" t="str">
        <f>CONCATENATE("-",spoiling," to all tests involving"," ",'Character Sheet'!R82)</f>
        <v xml:space="preserve">-0 to all tests involving </v>
      </c>
      <c r="C339" s="473" t="s">
        <v>11</v>
      </c>
      <c r="D339" s="248">
        <f>stamina+occult+spoiling-IF(occult=0,3,0)+IF(OR('Character Sheet'!X71=3,'Character Sheet'!X71="1 CP"),1,0)</f>
        <v>-2</v>
      </c>
      <c r="E339" s="473" t="s">
        <v>121</v>
      </c>
      <c r="F339" s="248" t="s">
        <v>37</v>
      </c>
      <c r="G339" s="12" t="s">
        <v>1577</v>
      </c>
    </row>
    <row r="340" spans="1:7" ht="17.25" customHeight="1" thickBot="1" x14ac:dyDescent="0.3">
      <c r="A340" s="437" t="s">
        <v>1581</v>
      </c>
      <c r="B340" s="3" t="str">
        <f>CONCATENATE("-",spoiling," to all tests involving"," ",'Character Sheet'!R83)</f>
        <v xml:space="preserve">-0 to all tests involving </v>
      </c>
      <c r="C340" s="13" t="s">
        <v>11</v>
      </c>
      <c r="D340" s="3">
        <f>stamina+occult+spoiling-IF(occult=0,3,0)+IF(OR('Character Sheet'!Y71=3,'Character Sheet'!Y71="1 CP"),1,0)</f>
        <v>-2</v>
      </c>
      <c r="E340" s="438" t="s">
        <v>121</v>
      </c>
      <c r="F340" s="3" t="s">
        <v>37</v>
      </c>
      <c r="G340" s="13" t="s">
        <v>1577</v>
      </c>
    </row>
    <row r="341" spans="1:7" ht="17.25" customHeight="1" x14ac:dyDescent="0.25">
      <c r="A341" s="4"/>
      <c r="B341" s="4"/>
      <c r="C341" s="4"/>
      <c r="D341" s="4"/>
      <c r="E341" s="4"/>
      <c r="F341" s="4"/>
      <c r="G341" s="4"/>
    </row>
    <row r="342" spans="1:7" ht="17.25" customHeight="1" x14ac:dyDescent="0.25">
      <c r="A342" s="4"/>
      <c r="B342" s="4"/>
      <c r="C342" s="4"/>
      <c r="D342" s="4"/>
      <c r="E342" s="4"/>
      <c r="F342" s="4"/>
      <c r="G342" s="4"/>
    </row>
    <row r="343" spans="1:7" ht="17.25" customHeight="1" x14ac:dyDescent="0.25">
      <c r="A343" s="4"/>
      <c r="B343" s="4"/>
      <c r="C343" s="4"/>
      <c r="D343" s="4"/>
      <c r="E343" s="4"/>
      <c r="F343" s="4"/>
      <c r="G343" s="4"/>
    </row>
    <row r="344" spans="1:7" ht="17.25" customHeight="1" x14ac:dyDescent="0.25">
      <c r="A344" s="4"/>
      <c r="B344" s="4"/>
      <c r="C344" s="4"/>
      <c r="D344" s="4"/>
      <c r="E344" s="4"/>
      <c r="F344" s="4"/>
      <c r="G344" s="4"/>
    </row>
    <row r="345" spans="1:7" ht="17.25" customHeight="1" x14ac:dyDescent="0.25">
      <c r="A345" s="4"/>
      <c r="B345" s="4"/>
      <c r="C345" s="4"/>
      <c r="D345" s="4"/>
      <c r="E345" s="4"/>
      <c r="F345" s="4"/>
      <c r="G345" s="4"/>
    </row>
    <row r="346" spans="1:7" ht="17.25" customHeight="1" x14ac:dyDescent="0.25">
      <c r="A346" s="4"/>
      <c r="B346" s="4"/>
      <c r="C346" s="4"/>
      <c r="D346" s="4"/>
      <c r="E346" s="4"/>
      <c r="F346" s="4"/>
      <c r="G346" s="4"/>
    </row>
    <row r="347" spans="1:7" ht="17.25" customHeight="1" x14ac:dyDescent="0.25">
      <c r="A347" s="4"/>
      <c r="B347" s="4"/>
      <c r="C347" s="4"/>
      <c r="D347" s="4"/>
      <c r="E347" s="4"/>
      <c r="F347" s="4"/>
      <c r="G347" s="4"/>
    </row>
    <row r="348" spans="1:7" ht="17.25" customHeight="1" x14ac:dyDescent="0.25">
      <c r="A348" s="4"/>
      <c r="B348" s="4"/>
      <c r="C348" s="4"/>
      <c r="D348" s="4"/>
      <c r="E348" s="4"/>
      <c r="F348" s="4"/>
      <c r="G348" s="4"/>
    </row>
    <row r="349" spans="1:7" ht="17.25" customHeight="1" x14ac:dyDescent="0.25">
      <c r="A349" s="4"/>
      <c r="B349" s="4"/>
      <c r="C349" s="4"/>
      <c r="D349" s="4"/>
      <c r="E349" s="4"/>
      <c r="F349" s="4"/>
      <c r="G349" s="4"/>
    </row>
    <row r="350" spans="1:7" ht="17.25" customHeight="1" x14ac:dyDescent="0.25">
      <c r="A350" s="4"/>
      <c r="B350" s="4"/>
      <c r="C350" s="4"/>
      <c r="D350" s="4"/>
      <c r="E350" s="4"/>
      <c r="F350" s="4"/>
      <c r="G350" s="4"/>
    </row>
    <row r="351" spans="1:7" ht="17.25" customHeight="1" x14ac:dyDescent="0.25">
      <c r="A351" s="4"/>
      <c r="B351" s="4"/>
      <c r="C351" s="4"/>
      <c r="D351" s="4"/>
      <c r="E351" s="4"/>
      <c r="F351" s="4"/>
      <c r="G351" s="4"/>
    </row>
    <row r="352" spans="1:7" ht="17.25" customHeight="1" x14ac:dyDescent="0.25">
      <c r="A352" s="4"/>
      <c r="B352" s="4"/>
      <c r="C352" s="4"/>
      <c r="D352" s="4"/>
      <c r="E352" s="4"/>
      <c r="F352" s="4"/>
      <c r="G352" s="4"/>
    </row>
    <row r="353" spans="1:7" ht="17.25" customHeight="1" x14ac:dyDescent="0.25">
      <c r="A353" s="4"/>
      <c r="B353" s="4"/>
      <c r="C353" s="4"/>
      <c r="D353" s="4"/>
      <c r="E353" s="4"/>
      <c r="F353" s="4"/>
      <c r="G353" s="4"/>
    </row>
    <row r="354" spans="1:7" ht="17.25" customHeight="1" x14ac:dyDescent="0.25">
      <c r="A354" s="4"/>
      <c r="B354" s="4"/>
      <c r="C354" s="4"/>
      <c r="D354" s="4"/>
      <c r="E354" s="4"/>
      <c r="F354" s="4"/>
      <c r="G354" s="4"/>
    </row>
    <row r="355" spans="1:7" ht="17.25" customHeight="1" x14ac:dyDescent="0.25">
      <c r="A355" s="4"/>
      <c r="B355" s="4"/>
      <c r="C355" s="4"/>
      <c r="D355" s="4"/>
      <c r="E355" s="4"/>
      <c r="F355" s="4"/>
      <c r="G355" s="4"/>
    </row>
    <row r="356" spans="1:7" ht="17.25" customHeight="1" x14ac:dyDescent="0.25">
      <c r="A356" s="4"/>
      <c r="B356" s="4"/>
      <c r="C356" s="4"/>
      <c r="D356" s="4"/>
      <c r="E356" s="4"/>
      <c r="F356" s="4"/>
      <c r="G356" s="4"/>
    </row>
    <row r="357" spans="1:7" ht="17.25" customHeight="1" x14ac:dyDescent="0.25">
      <c r="A357" s="4"/>
      <c r="B357" s="4"/>
      <c r="C357" s="4"/>
      <c r="D357" s="4"/>
      <c r="E357" s="4"/>
      <c r="F357" s="4"/>
      <c r="G357" s="4"/>
    </row>
    <row r="358" spans="1:7" ht="17.25" customHeight="1" x14ac:dyDescent="0.25">
      <c r="A358" s="4"/>
      <c r="B358" s="4"/>
      <c r="C358" s="4"/>
      <c r="D358" s="4"/>
      <c r="E358" s="4"/>
      <c r="F358" s="4"/>
      <c r="G358" s="4"/>
    </row>
    <row r="359" spans="1:7" ht="17.25" customHeight="1" x14ac:dyDescent="0.25">
      <c r="A359" s="4"/>
      <c r="B359" s="4"/>
      <c r="C359" s="4"/>
      <c r="D359" s="4"/>
      <c r="E359" s="4"/>
      <c r="F359" s="4"/>
      <c r="G359" s="4"/>
    </row>
    <row r="360" spans="1:7" ht="17.25" customHeight="1" x14ac:dyDescent="0.25">
      <c r="A360" s="4"/>
      <c r="B360" s="4"/>
      <c r="C360" s="4"/>
      <c r="D360" s="4"/>
      <c r="E360" s="4"/>
      <c r="F360" s="4"/>
      <c r="G360" s="4"/>
    </row>
    <row r="361" spans="1:7" ht="17.25" customHeight="1" x14ac:dyDescent="0.25">
      <c r="A361" s="4"/>
      <c r="B361" s="4"/>
      <c r="C361" s="4"/>
      <c r="D361" s="4"/>
      <c r="E361" s="4"/>
      <c r="F361" s="4"/>
      <c r="G361" s="4"/>
    </row>
    <row r="362" spans="1:7" ht="17.25" customHeight="1" x14ac:dyDescent="0.25">
      <c r="A362" s="4"/>
      <c r="B362" s="4"/>
      <c r="C362" s="4"/>
      <c r="D362" s="4"/>
      <c r="E362" s="4"/>
      <c r="F362" s="4"/>
      <c r="G362" s="4"/>
    </row>
    <row r="363" spans="1:7" ht="17.25" customHeight="1" x14ac:dyDescent="0.25">
      <c r="A363" s="4"/>
      <c r="B363" s="4"/>
      <c r="C363" s="4"/>
      <c r="D363" s="4"/>
      <c r="E363" s="4"/>
      <c r="F363" s="4"/>
      <c r="G363" s="4"/>
    </row>
    <row r="364" spans="1:7" ht="17.25" customHeight="1" x14ac:dyDescent="0.25">
      <c r="A364" s="4"/>
      <c r="B364" s="4"/>
      <c r="C364" s="4"/>
      <c r="D364" s="4"/>
      <c r="E364" s="4"/>
      <c r="F364" s="4"/>
      <c r="G364" s="4"/>
    </row>
    <row r="365" spans="1:7" ht="17.25" customHeight="1" x14ac:dyDescent="0.25">
      <c r="A365" s="4"/>
      <c r="B365" s="4"/>
      <c r="C365" s="4"/>
      <c r="D365" s="4"/>
      <c r="E365" s="4"/>
      <c r="F365" s="4"/>
      <c r="G365" s="4"/>
    </row>
    <row r="366" spans="1:7" ht="17.25" customHeight="1" x14ac:dyDescent="0.25">
      <c r="A366" s="4"/>
      <c r="B366" s="4"/>
      <c r="C366" s="4"/>
      <c r="D366" s="4"/>
      <c r="E366" s="4"/>
      <c r="F366" s="4"/>
      <c r="G366" s="4"/>
    </row>
    <row r="367" spans="1:7" ht="17.25" customHeight="1" x14ac:dyDescent="0.25">
      <c r="A367" s="4"/>
      <c r="B367" s="4"/>
      <c r="C367" s="4"/>
      <c r="D367" s="4"/>
      <c r="E367" s="4"/>
      <c r="F367" s="4"/>
      <c r="G367" s="4"/>
    </row>
    <row r="368" spans="1:7" ht="17.25" customHeight="1" x14ac:dyDescent="0.25">
      <c r="A368" s="4"/>
      <c r="B368" s="4"/>
      <c r="C368" s="4"/>
      <c r="D368" s="4"/>
      <c r="E368" s="4"/>
      <c r="F368" s="4"/>
      <c r="G368" s="4"/>
    </row>
    <row r="369" spans="1:7" ht="17.25" customHeight="1" x14ac:dyDescent="0.25">
      <c r="A369" s="4"/>
      <c r="B369" s="4"/>
      <c r="C369" s="4"/>
      <c r="D369" s="4"/>
      <c r="E369" s="4"/>
      <c r="F369" s="4"/>
      <c r="G369" s="4"/>
    </row>
    <row r="370" spans="1:7" ht="17.25" customHeight="1" x14ac:dyDescent="0.25">
      <c r="A370" s="4"/>
      <c r="B370" s="4"/>
      <c r="C370" s="4"/>
      <c r="D370" s="4"/>
      <c r="E370" s="4"/>
      <c r="F370" s="4"/>
      <c r="G370" s="4"/>
    </row>
    <row r="371" spans="1:7" ht="17.25" customHeight="1" x14ac:dyDescent="0.25">
      <c r="A371" s="4"/>
      <c r="B371" s="4"/>
      <c r="C371" s="4"/>
      <c r="D371" s="4"/>
      <c r="E371" s="4"/>
      <c r="F371" s="4"/>
      <c r="G371" s="4"/>
    </row>
    <row r="372" spans="1:7" ht="17.25" customHeight="1" x14ac:dyDescent="0.25">
      <c r="A372" s="4"/>
      <c r="B372" s="4"/>
      <c r="C372" s="4"/>
      <c r="D372" s="4"/>
      <c r="E372" s="4"/>
      <c r="F372" s="4"/>
      <c r="G372" s="4"/>
    </row>
    <row r="373" spans="1:7" ht="17.25" customHeight="1" x14ac:dyDescent="0.25">
      <c r="A373" s="4"/>
      <c r="B373" s="4"/>
      <c r="C373" s="4"/>
      <c r="D373" s="4"/>
      <c r="E373" s="4"/>
      <c r="F373" s="4"/>
      <c r="G373" s="4"/>
    </row>
    <row r="374" spans="1:7" ht="17.25" customHeight="1" x14ac:dyDescent="0.25">
      <c r="A374" s="4"/>
      <c r="B374" s="4"/>
      <c r="C374" s="4"/>
      <c r="D374" s="4"/>
      <c r="E374" s="4"/>
      <c r="F374" s="4"/>
      <c r="G374" s="4"/>
    </row>
    <row r="375" spans="1:7" ht="17.25" customHeight="1" x14ac:dyDescent="0.25">
      <c r="A375" s="4"/>
      <c r="B375" s="4"/>
      <c r="C375" s="4"/>
      <c r="D375" s="4"/>
      <c r="E375" s="4"/>
      <c r="F375" s="4"/>
      <c r="G375" s="4"/>
    </row>
    <row r="376" spans="1:7" ht="17.25" customHeight="1" x14ac:dyDescent="0.25">
      <c r="A376" s="4"/>
      <c r="B376" s="4"/>
      <c r="C376" s="4"/>
      <c r="D376" s="4"/>
      <c r="E376" s="4"/>
      <c r="F376" s="4"/>
      <c r="G376" s="4"/>
    </row>
    <row r="377" spans="1:7" ht="17.25" customHeight="1" x14ac:dyDescent="0.25">
      <c r="A377" s="4"/>
      <c r="B377" s="4"/>
      <c r="C377" s="4"/>
      <c r="D377" s="4"/>
      <c r="E377" s="4"/>
      <c r="F377" s="4"/>
      <c r="G377" s="4"/>
    </row>
    <row r="378" spans="1:7" ht="17.25" customHeight="1" x14ac:dyDescent="0.25">
      <c r="A378" s="4"/>
      <c r="B378" s="4"/>
      <c r="C378" s="4"/>
      <c r="D378" s="4"/>
      <c r="E378" s="4"/>
      <c r="F378" s="4"/>
      <c r="G378" s="4"/>
    </row>
    <row r="379" spans="1:7" ht="17.25" customHeight="1" x14ac:dyDescent="0.25">
      <c r="A379" s="4"/>
      <c r="B379" s="4"/>
      <c r="C379" s="4"/>
      <c r="D379" s="4"/>
      <c r="E379" s="4"/>
      <c r="F379" s="4"/>
      <c r="G379" s="4"/>
    </row>
    <row r="380" spans="1:7" x14ac:dyDescent="0.25">
      <c r="A380" s="4"/>
      <c r="B380" s="4"/>
      <c r="C380" s="4"/>
      <c r="D380" s="4"/>
      <c r="E380" s="4"/>
      <c r="F380" s="4"/>
      <c r="G380" s="4"/>
    </row>
    <row r="381" spans="1:7" x14ac:dyDescent="0.25">
      <c r="A381" s="4"/>
      <c r="B381" s="4"/>
      <c r="C381" s="4"/>
      <c r="D381" s="4"/>
      <c r="E381" s="4"/>
      <c r="F381" s="4"/>
      <c r="G381" s="4"/>
    </row>
    <row r="382" spans="1:7" x14ac:dyDescent="0.25">
      <c r="A382" s="4"/>
      <c r="B382" s="4"/>
      <c r="C382" s="4"/>
      <c r="D382" s="4"/>
      <c r="E382" s="4"/>
      <c r="F382" s="4"/>
      <c r="G382" s="4"/>
    </row>
    <row r="383" spans="1:7" x14ac:dyDescent="0.25">
      <c r="A383" s="4"/>
      <c r="B383" s="4"/>
      <c r="C383" s="4"/>
      <c r="D383" s="4"/>
      <c r="E383" s="4"/>
      <c r="F383" s="4"/>
      <c r="G383" s="4"/>
    </row>
    <row r="384" spans="1:7" x14ac:dyDescent="0.25">
      <c r="A384" s="4"/>
      <c r="B384" s="4"/>
      <c r="C384" s="4"/>
      <c r="D384" s="4"/>
      <c r="E384" s="4"/>
      <c r="F384" s="4"/>
      <c r="G384" s="4"/>
    </row>
    <row r="385" spans="1:7" x14ac:dyDescent="0.25">
      <c r="A385" s="4"/>
      <c r="B385" s="4"/>
      <c r="C385" s="4"/>
      <c r="D385" s="4"/>
      <c r="E385" s="4"/>
      <c r="F385" s="4"/>
      <c r="G385" s="4"/>
    </row>
    <row r="386" spans="1:7" x14ac:dyDescent="0.25">
      <c r="A386" s="4"/>
      <c r="B386" s="4"/>
      <c r="C386" s="4"/>
      <c r="D386" s="4"/>
      <c r="E386" s="4"/>
      <c r="F386" s="4"/>
      <c r="G386" s="4"/>
    </row>
    <row r="387" spans="1:7" x14ac:dyDescent="0.25">
      <c r="A387" s="4"/>
      <c r="B387" s="4"/>
      <c r="C387" s="4"/>
      <c r="D387" s="4"/>
      <c r="E387" s="4"/>
      <c r="F387" s="4"/>
      <c r="G387" s="4"/>
    </row>
    <row r="388" spans="1:7" x14ac:dyDescent="0.25">
      <c r="A388" s="4"/>
      <c r="B388" s="4"/>
      <c r="C388" s="4"/>
      <c r="D388" s="4"/>
      <c r="E388" s="4"/>
      <c r="F388" s="4"/>
      <c r="G388" s="4"/>
    </row>
    <row r="389" spans="1:7" x14ac:dyDescent="0.25">
      <c r="A389" s="4"/>
      <c r="B389" s="4"/>
      <c r="C389" s="4"/>
      <c r="D389" s="4"/>
      <c r="E389" s="4"/>
      <c r="F389" s="4"/>
      <c r="G389" s="4"/>
    </row>
    <row r="390" spans="1:7" x14ac:dyDescent="0.25">
      <c r="A390" s="4"/>
      <c r="B390" s="4"/>
      <c r="C390" s="4"/>
      <c r="D390" s="4"/>
      <c r="E390" s="4"/>
      <c r="F390" s="4"/>
      <c r="G390" s="4"/>
    </row>
    <row r="391" spans="1:7" x14ac:dyDescent="0.25">
      <c r="A391" s="4"/>
      <c r="B391" s="4"/>
      <c r="C391" s="4"/>
      <c r="D391" s="4"/>
      <c r="E391" s="4"/>
      <c r="F391" s="4"/>
      <c r="G391" s="4"/>
    </row>
    <row r="392" spans="1:7" x14ac:dyDescent="0.25">
      <c r="A392" s="4"/>
      <c r="B392" s="4"/>
      <c r="C392" s="4"/>
      <c r="D392" s="4"/>
      <c r="E392" s="4"/>
      <c r="F392" s="4"/>
      <c r="G392" s="4"/>
    </row>
    <row r="393" spans="1:7" x14ac:dyDescent="0.25">
      <c r="A393" s="4"/>
      <c r="B393" s="4"/>
      <c r="C393" s="4"/>
      <c r="D393" s="4"/>
      <c r="E393" s="4"/>
      <c r="F393" s="4"/>
      <c r="G393" s="4"/>
    </row>
    <row r="394" spans="1:7" x14ac:dyDescent="0.25">
      <c r="A394" s="4"/>
      <c r="B394" s="4"/>
      <c r="C394" s="4"/>
      <c r="D394" s="4"/>
      <c r="E394" s="4"/>
      <c r="F394" s="4"/>
      <c r="G394" s="4"/>
    </row>
    <row r="395" spans="1:7" x14ac:dyDescent="0.25">
      <c r="A395" s="4"/>
      <c r="B395" s="4"/>
      <c r="C395" s="4"/>
      <c r="D395" s="4"/>
      <c r="E395" s="4"/>
      <c r="F395" s="4"/>
      <c r="G395" s="4"/>
    </row>
    <row r="396" spans="1:7" x14ac:dyDescent="0.25">
      <c r="A396" s="4"/>
      <c r="B396" s="4"/>
      <c r="C396" s="4"/>
      <c r="D396" s="4"/>
      <c r="E396" s="4"/>
      <c r="F396" s="4"/>
      <c r="G396" s="4"/>
    </row>
    <row r="397" spans="1:7" x14ac:dyDescent="0.25">
      <c r="A397" s="4"/>
      <c r="B397" s="4"/>
      <c r="C397" s="4"/>
      <c r="D397" s="4"/>
      <c r="E397" s="4"/>
      <c r="F397" s="4"/>
      <c r="G397" s="4"/>
    </row>
    <row r="398" spans="1:7" x14ac:dyDescent="0.25">
      <c r="A398" s="4"/>
      <c r="B398" s="4"/>
      <c r="C398" s="4"/>
      <c r="D398" s="4"/>
      <c r="E398" s="4"/>
      <c r="F398" s="4"/>
      <c r="G398" s="4"/>
    </row>
    <row r="399" spans="1:7" x14ac:dyDescent="0.25">
      <c r="A399" s="4"/>
      <c r="B399" s="4"/>
      <c r="C399" s="4"/>
      <c r="D399" s="4"/>
      <c r="E399" s="4"/>
      <c r="F399" s="4"/>
      <c r="G399" s="4"/>
    </row>
    <row r="400" spans="1:7" x14ac:dyDescent="0.25">
      <c r="A400" s="4"/>
      <c r="B400" s="4"/>
      <c r="C400" s="4"/>
      <c r="D400" s="4"/>
      <c r="E400" s="4"/>
      <c r="F400" s="4"/>
      <c r="G400" s="4"/>
    </row>
    <row r="401" spans="1:7" x14ac:dyDescent="0.25">
      <c r="A401" s="4"/>
      <c r="B401" s="4"/>
      <c r="C401" s="4"/>
      <c r="D401" s="4"/>
      <c r="E401" s="4"/>
      <c r="F401" s="4"/>
      <c r="G401" s="4"/>
    </row>
    <row r="402" spans="1:7" x14ac:dyDescent="0.25">
      <c r="A402" s="4"/>
      <c r="B402" s="4"/>
      <c r="C402" s="4"/>
      <c r="D402" s="4"/>
      <c r="E402" s="4"/>
      <c r="F402" s="4"/>
      <c r="G402" s="4"/>
    </row>
    <row r="403" spans="1:7" x14ac:dyDescent="0.25">
      <c r="A403" s="4"/>
      <c r="B403" s="4"/>
      <c r="C403" s="4"/>
      <c r="D403" s="4"/>
      <c r="E403" s="4"/>
      <c r="F403" s="4"/>
      <c r="G403" s="4"/>
    </row>
    <row r="404" spans="1:7" x14ac:dyDescent="0.25">
      <c r="A404" s="4"/>
      <c r="B404" s="4"/>
      <c r="C404" s="4"/>
      <c r="D404" s="4"/>
      <c r="E404" s="4"/>
      <c r="F404" s="4"/>
      <c r="G404" s="4"/>
    </row>
    <row r="405" spans="1:7" x14ac:dyDescent="0.25">
      <c r="A405" s="4"/>
      <c r="B405" s="4"/>
      <c r="C405" s="4"/>
      <c r="D405" s="4"/>
      <c r="E405" s="4"/>
      <c r="F405" s="4"/>
      <c r="G405" s="4"/>
    </row>
    <row r="406" spans="1:7" x14ac:dyDescent="0.25">
      <c r="A406" s="4"/>
      <c r="B406" s="4"/>
      <c r="C406" s="4"/>
      <c r="D406" s="4"/>
      <c r="E406" s="4"/>
      <c r="F406" s="4"/>
      <c r="G406" s="4"/>
    </row>
    <row r="407" spans="1:7" x14ac:dyDescent="0.25">
      <c r="A407" s="4"/>
      <c r="B407" s="4"/>
      <c r="C407" s="4"/>
      <c r="D407" s="4"/>
      <c r="E407" s="4"/>
      <c r="F407" s="4"/>
      <c r="G407" s="4"/>
    </row>
    <row r="408" spans="1:7" x14ac:dyDescent="0.25">
      <c r="A408" s="4"/>
      <c r="B408" s="4"/>
      <c r="C408" s="4"/>
      <c r="D408" s="4"/>
      <c r="E408" s="4"/>
      <c r="F408" s="4"/>
      <c r="G408" s="4"/>
    </row>
    <row r="409" spans="1:7" x14ac:dyDescent="0.25">
      <c r="A409" s="4"/>
      <c r="B409" s="4"/>
      <c r="C409" s="4"/>
      <c r="D409" s="4"/>
      <c r="E409" s="4"/>
      <c r="F409" s="4"/>
      <c r="G409" s="4"/>
    </row>
    <row r="410" spans="1:7" x14ac:dyDescent="0.25">
      <c r="A410" s="4"/>
      <c r="B410" s="4"/>
      <c r="C410" s="4"/>
      <c r="D410" s="4"/>
      <c r="E410" s="4"/>
      <c r="F410" s="4"/>
      <c r="G410" s="4"/>
    </row>
    <row r="411" spans="1:7" x14ac:dyDescent="0.25">
      <c r="A411" s="4"/>
      <c r="B411" s="4"/>
      <c r="C411" s="4"/>
      <c r="D411" s="4"/>
      <c r="E411" s="4"/>
      <c r="F411" s="4"/>
      <c r="G411" s="4"/>
    </row>
    <row r="412" spans="1:7" x14ac:dyDescent="0.25">
      <c r="A412" s="4"/>
      <c r="B412" s="4"/>
      <c r="C412" s="4"/>
      <c r="D412" s="4"/>
      <c r="E412" s="4"/>
      <c r="F412" s="4"/>
      <c r="G412" s="4"/>
    </row>
    <row r="413" spans="1:7" x14ac:dyDescent="0.25">
      <c r="A413" s="4"/>
      <c r="B413" s="4"/>
      <c r="C413" s="4"/>
      <c r="D413" s="4"/>
      <c r="E413" s="4"/>
      <c r="F413" s="4"/>
      <c r="G413" s="4"/>
    </row>
    <row r="414" spans="1:7" x14ac:dyDescent="0.25">
      <c r="A414" s="4"/>
      <c r="B414" s="4"/>
      <c r="C414" s="4"/>
      <c r="D414" s="4"/>
      <c r="E414" s="4"/>
      <c r="F414" s="4"/>
      <c r="G414" s="4"/>
    </row>
    <row r="415" spans="1:7" x14ac:dyDescent="0.25">
      <c r="A415" s="4"/>
      <c r="B415" s="4"/>
      <c r="C415" s="4"/>
      <c r="D415" s="4"/>
      <c r="E415" s="4"/>
      <c r="F415" s="4"/>
      <c r="G415" s="4"/>
    </row>
    <row r="416" spans="1:7" x14ac:dyDescent="0.25">
      <c r="A416" s="4"/>
      <c r="B416" s="4"/>
      <c r="C416" s="4"/>
      <c r="D416" s="4"/>
      <c r="E416" s="4"/>
      <c r="F416" s="4"/>
      <c r="G416" s="4"/>
    </row>
    <row r="417" spans="1:7" x14ac:dyDescent="0.25">
      <c r="A417" s="4"/>
      <c r="B417" s="4"/>
      <c r="C417" s="4"/>
      <c r="D417" s="4"/>
      <c r="E417" s="4"/>
      <c r="F417" s="4"/>
      <c r="G417" s="4"/>
    </row>
    <row r="418" spans="1:7" x14ac:dyDescent="0.25">
      <c r="A418" s="4"/>
      <c r="B418" s="4"/>
      <c r="C418" s="4"/>
      <c r="D418" s="4"/>
      <c r="E418" s="4"/>
      <c r="F418" s="4"/>
      <c r="G418" s="4"/>
    </row>
    <row r="419" spans="1:7" x14ac:dyDescent="0.25">
      <c r="A419" s="4"/>
      <c r="B419" s="4"/>
      <c r="C419" s="4"/>
      <c r="D419" s="4"/>
      <c r="E419" s="4"/>
      <c r="F419" s="4"/>
      <c r="G419" s="4"/>
    </row>
    <row r="420" spans="1:7" x14ac:dyDescent="0.25">
      <c r="A420" s="4"/>
      <c r="B420" s="4"/>
      <c r="C420" s="4"/>
      <c r="D420" s="4"/>
      <c r="E420" s="4"/>
      <c r="F420" s="4"/>
      <c r="G420" s="4"/>
    </row>
    <row r="421" spans="1:7" x14ac:dyDescent="0.25">
      <c r="A421" s="4"/>
      <c r="B421" s="4"/>
      <c r="C421" s="4"/>
      <c r="D421" s="4"/>
      <c r="E421" s="4"/>
      <c r="F421" s="4"/>
      <c r="G421" s="4"/>
    </row>
    <row r="422" spans="1:7" x14ac:dyDescent="0.25">
      <c r="A422" s="4"/>
      <c r="B422" s="4"/>
      <c r="C422" s="4"/>
      <c r="D422" s="4"/>
      <c r="E422" s="4"/>
      <c r="F422" s="4"/>
      <c r="G422" s="4"/>
    </row>
    <row r="423" spans="1:7" x14ac:dyDescent="0.25">
      <c r="A423" s="4"/>
      <c r="B423" s="4"/>
      <c r="C423" s="4"/>
      <c r="D423" s="4"/>
      <c r="E423" s="4"/>
      <c r="F423" s="4"/>
      <c r="G423" s="4"/>
    </row>
    <row r="424" spans="1:7" x14ac:dyDescent="0.25">
      <c r="A424" s="4"/>
      <c r="B424" s="4"/>
      <c r="C424" s="4"/>
      <c r="D424" s="4"/>
      <c r="E424" s="4"/>
      <c r="F424" s="4"/>
      <c r="G424" s="4"/>
    </row>
    <row r="425" spans="1:7" x14ac:dyDescent="0.25">
      <c r="A425" s="4"/>
      <c r="B425" s="4"/>
      <c r="C425" s="4"/>
      <c r="D425" s="4"/>
      <c r="E425" s="4"/>
      <c r="F425" s="4"/>
      <c r="G425" s="4"/>
    </row>
    <row r="426" spans="1:7" x14ac:dyDescent="0.25">
      <c r="A426" s="4"/>
      <c r="B426" s="4"/>
      <c r="C426" s="4"/>
      <c r="D426" s="4"/>
      <c r="E426" s="4"/>
      <c r="F426" s="4"/>
      <c r="G426" s="4"/>
    </row>
    <row r="427" spans="1:7" x14ac:dyDescent="0.25">
      <c r="A427" s="4"/>
      <c r="B427" s="4"/>
      <c r="C427" s="4"/>
      <c r="D427" s="4"/>
      <c r="E427" s="4"/>
      <c r="F427" s="4"/>
      <c r="G427" s="4"/>
    </row>
    <row r="428" spans="1:7" x14ac:dyDescent="0.25">
      <c r="A428" s="4"/>
      <c r="B428" s="4"/>
      <c r="C428" s="4"/>
      <c r="D428" s="4"/>
      <c r="E428" s="4"/>
      <c r="F428" s="4"/>
      <c r="G428" s="4"/>
    </row>
    <row r="429" spans="1:7" x14ac:dyDescent="0.25">
      <c r="A429" s="4"/>
      <c r="B429" s="4"/>
      <c r="C429" s="4"/>
      <c r="D429" s="4"/>
      <c r="E429" s="4"/>
      <c r="F429" s="4"/>
      <c r="G429" s="4"/>
    </row>
    <row r="430" spans="1:7" x14ac:dyDescent="0.25">
      <c r="A430" s="4"/>
      <c r="B430" s="4"/>
      <c r="C430" s="4"/>
      <c r="D430" s="4"/>
      <c r="E430" s="4"/>
      <c r="F430" s="4"/>
      <c r="G430" s="4"/>
    </row>
    <row r="431" spans="1:7" x14ac:dyDescent="0.25">
      <c r="A431" s="4"/>
      <c r="B431" s="4"/>
      <c r="C431" s="4"/>
      <c r="D431" s="4"/>
      <c r="E431" s="4"/>
      <c r="F431" s="4"/>
      <c r="G431" s="4"/>
    </row>
    <row r="432" spans="1:7" x14ac:dyDescent="0.25">
      <c r="A432" s="4"/>
      <c r="B432" s="4"/>
      <c r="C432" s="4"/>
      <c r="D432" s="4"/>
      <c r="E432" s="4"/>
      <c r="F432" s="4"/>
      <c r="G432" s="4"/>
    </row>
    <row r="433" spans="1:7" x14ac:dyDescent="0.25">
      <c r="A433" s="4"/>
      <c r="B433" s="4"/>
      <c r="C433" s="4"/>
      <c r="D433" s="4"/>
      <c r="E433" s="4"/>
      <c r="F433" s="4"/>
      <c r="G433" s="4"/>
    </row>
    <row r="434" spans="1:7" x14ac:dyDescent="0.25">
      <c r="A434" s="4"/>
      <c r="B434" s="4"/>
      <c r="C434" s="4"/>
      <c r="D434" s="4"/>
      <c r="E434" s="4"/>
      <c r="F434" s="4"/>
      <c r="G434" s="4"/>
    </row>
    <row r="435" spans="1:7" x14ac:dyDescent="0.25">
      <c r="A435" s="4"/>
      <c r="B435" s="4"/>
      <c r="C435" s="4"/>
      <c r="D435" s="4"/>
      <c r="E435" s="4"/>
      <c r="F435" s="4"/>
      <c r="G435" s="4"/>
    </row>
    <row r="436" spans="1:7" x14ac:dyDescent="0.25">
      <c r="A436" s="4"/>
      <c r="B436" s="4"/>
      <c r="C436" s="4"/>
      <c r="D436" s="4"/>
      <c r="E436" s="4"/>
      <c r="F436" s="4"/>
      <c r="G436" s="4"/>
    </row>
    <row r="437" spans="1:7" x14ac:dyDescent="0.25">
      <c r="A437" s="4"/>
      <c r="B437" s="4"/>
      <c r="C437" s="4"/>
      <c r="D437" s="4"/>
      <c r="E437" s="4"/>
      <c r="F437" s="4"/>
      <c r="G437" s="4"/>
    </row>
    <row r="438" spans="1:7" x14ac:dyDescent="0.25">
      <c r="A438" s="4"/>
      <c r="B438" s="4"/>
      <c r="C438" s="4"/>
      <c r="D438" s="4"/>
      <c r="E438" s="4"/>
      <c r="F438" s="4"/>
      <c r="G438" s="4"/>
    </row>
    <row r="439" spans="1:7" x14ac:dyDescent="0.25">
      <c r="A439" s="4"/>
      <c r="B439" s="4"/>
      <c r="C439" s="4"/>
      <c r="D439" s="4"/>
      <c r="E439" s="4"/>
      <c r="F439" s="4"/>
      <c r="G439" s="4"/>
    </row>
    <row r="440" spans="1:7" x14ac:dyDescent="0.25">
      <c r="A440" s="4"/>
      <c r="B440" s="4"/>
      <c r="C440" s="4"/>
      <c r="D440" s="4"/>
      <c r="E440" s="4"/>
      <c r="F440" s="4"/>
      <c r="G440" s="4"/>
    </row>
    <row r="441" spans="1:7" x14ac:dyDescent="0.25">
      <c r="A441" s="4"/>
      <c r="B441" s="4"/>
      <c r="C441" s="4"/>
      <c r="D441" s="4"/>
      <c r="E441" s="4"/>
      <c r="F441" s="4"/>
      <c r="G441" s="4"/>
    </row>
    <row r="442" spans="1:7" x14ac:dyDescent="0.25">
      <c r="A442" s="4"/>
      <c r="B442" s="4"/>
      <c r="C442" s="4"/>
      <c r="D442" s="4"/>
      <c r="E442" s="4"/>
      <c r="F442" s="4"/>
      <c r="G442" s="4"/>
    </row>
    <row r="443" spans="1:7" x14ac:dyDescent="0.25">
      <c r="A443" s="4"/>
      <c r="B443" s="4"/>
      <c r="C443" s="4"/>
      <c r="D443" s="4"/>
      <c r="E443" s="4"/>
      <c r="F443" s="4"/>
      <c r="G443" s="4"/>
    </row>
    <row r="444" spans="1:7" x14ac:dyDescent="0.25">
      <c r="A444" s="4"/>
      <c r="B444" s="4"/>
      <c r="C444" s="4"/>
      <c r="D444" s="4"/>
      <c r="E444" s="4"/>
      <c r="F444" s="4"/>
      <c r="G444" s="4"/>
    </row>
    <row r="445" spans="1:7" x14ac:dyDescent="0.25">
      <c r="A445" s="4"/>
      <c r="B445" s="4"/>
      <c r="C445" s="4"/>
      <c r="D445" s="4"/>
      <c r="E445" s="4"/>
      <c r="F445" s="4"/>
      <c r="G445" s="4"/>
    </row>
    <row r="446" spans="1:7" x14ac:dyDescent="0.25">
      <c r="A446" s="4"/>
      <c r="B446" s="4"/>
      <c r="C446" s="4"/>
      <c r="D446" s="4"/>
      <c r="E446" s="4"/>
      <c r="F446" s="4"/>
      <c r="G446" s="4"/>
    </row>
    <row r="447" spans="1:7" x14ac:dyDescent="0.25">
      <c r="A447" s="4"/>
      <c r="B447" s="4"/>
      <c r="C447" s="4"/>
      <c r="D447" s="4"/>
      <c r="E447" s="4"/>
      <c r="F447" s="4"/>
      <c r="G447" s="4"/>
    </row>
    <row r="448" spans="1:7" x14ac:dyDescent="0.25">
      <c r="A448" s="4"/>
      <c r="B448" s="4"/>
      <c r="C448" s="4"/>
      <c r="D448" s="4"/>
      <c r="E448" s="4"/>
      <c r="F448" s="4"/>
      <c r="G448" s="4"/>
    </row>
    <row r="449" spans="1:7" x14ac:dyDescent="0.25">
      <c r="A449" s="4"/>
      <c r="B449" s="4"/>
      <c r="C449" s="4"/>
      <c r="D449" s="4"/>
      <c r="E449" s="4"/>
      <c r="F449" s="4"/>
      <c r="G449" s="4"/>
    </row>
    <row r="450" spans="1:7" x14ac:dyDescent="0.25">
      <c r="A450" s="4"/>
      <c r="B450" s="4"/>
      <c r="C450" s="4"/>
      <c r="D450" s="4"/>
      <c r="E450" s="4"/>
      <c r="F450" s="4"/>
      <c r="G450" s="4"/>
    </row>
    <row r="451" spans="1:7" x14ac:dyDescent="0.25">
      <c r="A451" s="4"/>
      <c r="B451" s="4"/>
      <c r="C451" s="4"/>
      <c r="D451" s="4"/>
      <c r="E451" s="4"/>
      <c r="F451" s="4"/>
      <c r="G451" s="4"/>
    </row>
    <row r="452" spans="1:7" x14ac:dyDescent="0.25">
      <c r="A452" s="4"/>
      <c r="B452" s="4"/>
      <c r="C452" s="4"/>
      <c r="D452" s="4"/>
      <c r="E452" s="4"/>
      <c r="F452" s="4"/>
      <c r="G452" s="4"/>
    </row>
    <row r="453" spans="1:7" x14ac:dyDescent="0.25">
      <c r="A453" s="4"/>
      <c r="B453" s="4"/>
      <c r="C453" s="4"/>
      <c r="D453" s="4"/>
      <c r="E453" s="4"/>
      <c r="F453" s="4"/>
      <c r="G453" s="4"/>
    </row>
    <row r="454" spans="1:7" x14ac:dyDescent="0.25">
      <c r="A454" s="4"/>
      <c r="B454" s="4"/>
      <c r="C454" s="4"/>
      <c r="D454" s="4"/>
      <c r="E454" s="4"/>
      <c r="F454" s="4"/>
      <c r="G454" s="4"/>
    </row>
    <row r="455" spans="1:7" x14ac:dyDescent="0.25">
      <c r="A455" s="4"/>
      <c r="B455" s="4"/>
      <c r="C455" s="4"/>
      <c r="D455" s="4"/>
      <c r="E455" s="4"/>
      <c r="F455" s="4"/>
      <c r="G455" s="4"/>
    </row>
    <row r="456" spans="1:7" x14ac:dyDescent="0.25">
      <c r="A456" s="4"/>
      <c r="B456" s="4"/>
      <c r="C456" s="4"/>
      <c r="D456" s="4"/>
      <c r="E456" s="4"/>
      <c r="F456" s="4"/>
      <c r="G456" s="4"/>
    </row>
    <row r="457" spans="1:7" x14ac:dyDescent="0.25">
      <c r="A457" s="4"/>
      <c r="B457" s="4"/>
      <c r="C457" s="4"/>
      <c r="D457" s="4"/>
      <c r="E457" s="4"/>
      <c r="F457" s="4"/>
      <c r="G457" s="4"/>
    </row>
    <row r="458" spans="1:7" x14ac:dyDescent="0.25">
      <c r="A458" s="4"/>
      <c r="B458" s="4"/>
      <c r="C458" s="4"/>
      <c r="D458" s="4"/>
      <c r="E458" s="4"/>
      <c r="F458" s="4"/>
      <c r="G458" s="4"/>
    </row>
    <row r="459" spans="1:7" x14ac:dyDescent="0.25">
      <c r="A459" s="4"/>
      <c r="B459" s="4"/>
      <c r="C459" s="4"/>
      <c r="D459" s="4"/>
      <c r="E459" s="4"/>
      <c r="F459" s="4"/>
      <c r="G459" s="4"/>
    </row>
    <row r="460" spans="1:7" x14ac:dyDescent="0.25">
      <c r="A460" s="4"/>
      <c r="B460" s="4"/>
      <c r="C460" s="4"/>
      <c r="D460" s="4"/>
      <c r="E460" s="4"/>
      <c r="F460" s="4"/>
      <c r="G460" s="4"/>
    </row>
    <row r="461" spans="1:7" x14ac:dyDescent="0.25">
      <c r="A461" s="4"/>
      <c r="B461" s="4"/>
      <c r="C461" s="4"/>
      <c r="D461" s="4"/>
      <c r="E461" s="4"/>
      <c r="F461" s="4"/>
      <c r="G461" s="4"/>
    </row>
    <row r="462" spans="1:7" x14ac:dyDescent="0.25">
      <c r="A462" s="4"/>
      <c r="B462" s="4"/>
      <c r="C462" s="4"/>
      <c r="D462" s="4"/>
      <c r="E462" s="4"/>
      <c r="F462" s="4"/>
      <c r="G462" s="4"/>
    </row>
    <row r="463" spans="1:7" x14ac:dyDescent="0.25">
      <c r="A463" s="4"/>
      <c r="B463" s="4"/>
      <c r="C463" s="4"/>
      <c r="D463" s="4"/>
      <c r="E463" s="4"/>
      <c r="F463" s="4"/>
      <c r="G463" s="4"/>
    </row>
    <row r="464" spans="1:7" x14ac:dyDescent="0.25">
      <c r="A464" s="4"/>
      <c r="B464" s="4"/>
      <c r="C464" s="4"/>
      <c r="D464" s="4"/>
      <c r="E464" s="4"/>
      <c r="F464" s="4"/>
      <c r="G464" s="4"/>
    </row>
    <row r="465" spans="1:7" x14ac:dyDescent="0.25">
      <c r="A465" s="4"/>
      <c r="B465" s="4"/>
      <c r="C465" s="4"/>
      <c r="D465" s="4"/>
      <c r="E465" s="4"/>
      <c r="F465" s="4"/>
      <c r="G465" s="4"/>
    </row>
    <row r="466" spans="1:7" x14ac:dyDescent="0.25">
      <c r="A466" s="4"/>
      <c r="B466" s="4"/>
      <c r="C466" s="4"/>
      <c r="D466" s="4"/>
      <c r="E466" s="4"/>
      <c r="F466" s="4"/>
      <c r="G466" s="4"/>
    </row>
    <row r="467" spans="1:7" x14ac:dyDescent="0.25">
      <c r="A467" s="4"/>
      <c r="B467" s="4"/>
      <c r="C467" s="4"/>
      <c r="D467" s="4"/>
      <c r="E467" s="4"/>
      <c r="F467" s="4"/>
      <c r="G467" s="4"/>
    </row>
    <row r="468" spans="1:7" x14ac:dyDescent="0.25">
      <c r="A468" s="4"/>
      <c r="B468" s="4"/>
      <c r="C468" s="4"/>
      <c r="D468" s="4"/>
      <c r="E468" s="4"/>
      <c r="F468" s="4"/>
      <c r="G468" s="4"/>
    </row>
    <row r="469" spans="1:7" x14ac:dyDescent="0.25">
      <c r="A469" s="4"/>
      <c r="B469" s="4"/>
      <c r="C469" s="4"/>
      <c r="D469" s="4"/>
      <c r="E469" s="4"/>
      <c r="F469" s="4"/>
      <c r="G469" s="4"/>
    </row>
    <row r="470" spans="1:7" x14ac:dyDescent="0.25">
      <c r="A470" s="4"/>
      <c r="B470" s="4"/>
      <c r="C470" s="4"/>
      <c r="D470" s="4"/>
      <c r="E470" s="4"/>
      <c r="F470" s="4"/>
      <c r="G470" s="4"/>
    </row>
    <row r="471" spans="1:7" x14ac:dyDescent="0.25">
      <c r="A471" s="4"/>
      <c r="B471" s="4"/>
      <c r="C471" s="4"/>
      <c r="D471" s="4"/>
      <c r="E471" s="4"/>
      <c r="F471" s="4"/>
      <c r="G471" s="4"/>
    </row>
    <row r="472" spans="1:7" x14ac:dyDescent="0.25">
      <c r="A472" s="4"/>
      <c r="B472" s="4"/>
      <c r="C472" s="4"/>
      <c r="D472" s="4"/>
      <c r="E472" s="4"/>
      <c r="F472" s="4"/>
      <c r="G472" s="4"/>
    </row>
    <row r="473" spans="1:7" x14ac:dyDescent="0.25">
      <c r="A473" s="4"/>
      <c r="B473" s="4"/>
      <c r="C473" s="4"/>
      <c r="D473" s="4"/>
      <c r="E473" s="4"/>
      <c r="F473" s="4"/>
      <c r="G473" s="4"/>
    </row>
    <row r="474" spans="1:7" x14ac:dyDescent="0.25">
      <c r="A474" s="4"/>
      <c r="B474" s="4"/>
      <c r="C474" s="4"/>
      <c r="D474" s="4"/>
      <c r="E474" s="4"/>
      <c r="F474" s="4"/>
      <c r="G474" s="4"/>
    </row>
    <row r="475" spans="1:7" x14ac:dyDescent="0.25">
      <c r="A475" s="4"/>
      <c r="B475" s="4"/>
      <c r="C475" s="4"/>
      <c r="D475" s="4"/>
      <c r="E475" s="4"/>
      <c r="F475" s="4"/>
      <c r="G475" s="4"/>
    </row>
    <row r="476" spans="1:7" x14ac:dyDescent="0.25">
      <c r="A476" s="4"/>
      <c r="B476" s="4"/>
      <c r="C476" s="4"/>
      <c r="D476" s="4"/>
      <c r="E476" s="4"/>
      <c r="F476" s="4"/>
      <c r="G476" s="4"/>
    </row>
    <row r="477" spans="1:7" x14ac:dyDescent="0.25">
      <c r="A477" s="4"/>
      <c r="B477" s="4"/>
      <c r="C477" s="4"/>
      <c r="D477" s="4"/>
      <c r="E477" s="4"/>
      <c r="F477" s="4"/>
      <c r="G477" s="4"/>
    </row>
    <row r="478" spans="1:7" x14ac:dyDescent="0.25">
      <c r="A478" s="4"/>
      <c r="B478" s="4"/>
      <c r="C478" s="4"/>
      <c r="D478" s="4"/>
      <c r="E478" s="4"/>
      <c r="F478" s="4"/>
      <c r="G478" s="4"/>
    </row>
    <row r="479" spans="1:7" x14ac:dyDescent="0.25">
      <c r="A479" s="4"/>
      <c r="B479" s="4"/>
      <c r="C479" s="4"/>
      <c r="D479" s="4"/>
      <c r="E479" s="4"/>
      <c r="F479" s="4"/>
      <c r="G479" s="4"/>
    </row>
    <row r="480" spans="1:7" x14ac:dyDescent="0.25">
      <c r="A480" s="4"/>
      <c r="B480" s="4"/>
      <c r="C480" s="4"/>
      <c r="D480" s="4"/>
      <c r="E480" s="4"/>
      <c r="F480" s="4"/>
      <c r="G480" s="4"/>
    </row>
  </sheetData>
  <sheetProtection password="8719" sheet="1" objects="1" scenarios="1" formatCells="0" formatRows="0" insertColumns="0" insertRows="0"/>
  <mergeCells count="1">
    <mergeCell ref="A1:G1"/>
  </mergeCells>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zoomScale="70" zoomScaleNormal="70" workbookViewId="0">
      <pane ySplit="2" topLeftCell="A3" activePane="bottomLeft" state="frozen"/>
      <selection pane="bottomLeft" activeCell="D3" sqref="D3"/>
    </sheetView>
  </sheetViews>
  <sheetFormatPr defaultRowHeight="16.5" customHeight="1" x14ac:dyDescent="0.25"/>
  <cols>
    <col min="1" max="1" width="27.85546875" style="368" bestFit="1" customWidth="1"/>
    <col min="2" max="2" width="21.85546875" style="5" customWidth="1"/>
    <col min="3" max="3" width="11.7109375" style="5" customWidth="1"/>
    <col min="4" max="4" width="22.7109375" style="5" bestFit="1" customWidth="1"/>
    <col min="5" max="5" width="25" style="5" bestFit="1" customWidth="1"/>
    <col min="6" max="6" width="16.28515625" style="5" customWidth="1"/>
    <col min="7" max="7" width="19.42578125" style="5" customWidth="1"/>
    <col min="8" max="8" width="7" style="5" customWidth="1"/>
    <col min="9" max="9" width="13.140625" style="5" customWidth="1"/>
    <col min="10" max="16384" width="9.140625" style="5"/>
  </cols>
  <sheetData>
    <row r="1" spans="1:9" ht="16.5" customHeight="1" x14ac:dyDescent="0.25">
      <c r="A1" s="1036" t="s">
        <v>1107</v>
      </c>
      <c r="B1" s="1037"/>
      <c r="C1" s="1037"/>
      <c r="D1" s="1037"/>
      <c r="E1" s="1037"/>
      <c r="F1" s="1037"/>
      <c r="G1" s="1037"/>
      <c r="H1" s="1037"/>
      <c r="I1" s="1038"/>
    </row>
    <row r="2" spans="1:9" ht="33.75" customHeight="1" thickBot="1" x14ac:dyDescent="0.3">
      <c r="A2" s="400" t="s">
        <v>1</v>
      </c>
      <c r="B2" s="400" t="s">
        <v>2</v>
      </c>
      <c r="C2" s="400" t="s">
        <v>3</v>
      </c>
      <c r="D2" s="400" t="s">
        <v>4</v>
      </c>
      <c r="E2" s="400" t="s">
        <v>5</v>
      </c>
      <c r="F2" s="400" t="s">
        <v>6</v>
      </c>
      <c r="G2" s="400" t="s">
        <v>7</v>
      </c>
      <c r="H2" s="400" t="s">
        <v>8</v>
      </c>
      <c r="I2" s="601" t="s">
        <v>9</v>
      </c>
    </row>
    <row r="3" spans="1:9" ht="16.5" customHeight="1" x14ac:dyDescent="0.25">
      <c r="A3" s="286" t="s">
        <v>134</v>
      </c>
      <c r="B3" s="7" t="s">
        <v>18</v>
      </c>
      <c r="C3" s="7" t="s">
        <v>12</v>
      </c>
      <c r="D3" s="7" t="s">
        <v>13</v>
      </c>
      <c r="E3" s="7" t="s">
        <v>12</v>
      </c>
      <c r="F3" s="7" t="str">
        <f>IF(covenant1="Carthian Movement", "Local", "Unavailable")</f>
        <v>Unavailable</v>
      </c>
      <c r="G3" s="7" t="s">
        <v>2268</v>
      </c>
      <c r="H3" s="7">
        <v>12</v>
      </c>
      <c r="I3" s="7" t="str">
        <f>IF(AND(protean&gt;1,resilience&gt;1),"Yes","No")</f>
        <v>No</v>
      </c>
    </row>
    <row r="4" spans="1:9" ht="16.5" customHeight="1" x14ac:dyDescent="0.25">
      <c r="A4" s="597" t="s">
        <v>2270</v>
      </c>
      <c r="B4" s="15" t="s">
        <v>2310</v>
      </c>
      <c r="C4" s="15">
        <f>wits+medicine+BloodDis-IF(medicine&lt;1,3,0)</f>
        <v>-2</v>
      </c>
      <c r="D4" s="15" t="s">
        <v>46</v>
      </c>
      <c r="E4" s="15" t="s">
        <v>12</v>
      </c>
      <c r="F4" s="248" t="str">
        <f>IF(bloodline="Libitinarius", "Local", "Unavailable")</f>
        <v>Unavailable</v>
      </c>
      <c r="G4" s="15" t="s">
        <v>172</v>
      </c>
      <c r="H4" s="15">
        <v>16</v>
      </c>
      <c r="I4" s="15" t="str">
        <f>IF(AND(auspex&gt;2,BloodDis&gt;1,bloodline="Libitinarius"),"Yes","No")</f>
        <v>No</v>
      </c>
    </row>
    <row r="5" spans="1:9" ht="16.5" customHeight="1" x14ac:dyDescent="0.25">
      <c r="A5" s="2" t="s">
        <v>118</v>
      </c>
      <c r="B5" s="248" t="s">
        <v>11</v>
      </c>
      <c r="C5" s="248">
        <f>manipulation+persuasion+majesty-IF(persuasion=0,1,0)</f>
        <v>0</v>
      </c>
      <c r="D5" s="248" t="s">
        <v>36</v>
      </c>
      <c r="E5" s="248" t="s">
        <v>41</v>
      </c>
      <c r="F5" s="248" t="str">
        <f>IF(bloodline="Noctuku", "Local", "Unavailable")</f>
        <v>Unavailable</v>
      </c>
      <c r="G5" s="248" t="s">
        <v>119</v>
      </c>
      <c r="H5" s="248">
        <v>21</v>
      </c>
      <c r="I5" s="248" t="str">
        <f>IF(AND(bloodline="Noctuku",majesty&gt;3,BloodDis&gt;2),"Yes","No")</f>
        <v>No</v>
      </c>
    </row>
    <row r="6" spans="1:9" ht="16.5" customHeight="1" x14ac:dyDescent="0.25">
      <c r="A6" s="2" t="s">
        <v>169</v>
      </c>
      <c r="B6" s="248" t="s">
        <v>55</v>
      </c>
      <c r="C6" s="248">
        <f>wits+occult+auspex-IF(occult&lt;1,3,0)</f>
        <v>-2</v>
      </c>
      <c r="D6" s="248" t="s">
        <v>21</v>
      </c>
      <c r="E6" s="248" t="s">
        <v>12</v>
      </c>
      <c r="F6" s="248" t="str">
        <f>IF(covenant1="Circle of the Crone","Local","Unavailable")</f>
        <v>Unavailable</v>
      </c>
      <c r="G6" s="248" t="s">
        <v>1616</v>
      </c>
      <c r="H6" s="248">
        <v>10</v>
      </c>
      <c r="I6" s="248" t="str">
        <f>IF(AND(auspex&gt;1,cruac&gt;0),"Yes","No")</f>
        <v>No</v>
      </c>
    </row>
    <row r="7" spans="1:9" ht="16.5" customHeight="1" x14ac:dyDescent="0.25">
      <c r="A7" s="2" t="s">
        <v>170</v>
      </c>
      <c r="B7" s="248" t="s">
        <v>55</v>
      </c>
      <c r="C7" s="248">
        <f>wits+occult+auspex-IF(occult&lt;1,3,0)</f>
        <v>-2</v>
      </c>
      <c r="D7" s="248" t="s">
        <v>21</v>
      </c>
      <c r="E7" s="248" t="s">
        <v>12</v>
      </c>
      <c r="F7" s="248" t="s">
        <v>14</v>
      </c>
      <c r="G7" s="248" t="s">
        <v>2312</v>
      </c>
      <c r="H7" s="248">
        <v>10</v>
      </c>
      <c r="I7" s="248" t="str">
        <f>IF(AND(auspex&gt;1,theban&gt;0),"Yes","No")</f>
        <v>No</v>
      </c>
    </row>
    <row r="8" spans="1:9" ht="16.5" customHeight="1" x14ac:dyDescent="0.25">
      <c r="A8" s="2" t="s">
        <v>155</v>
      </c>
      <c r="B8" s="248" t="s">
        <v>55</v>
      </c>
      <c r="C8" s="248">
        <f>intelligence+subterfuge+auspex-IF(subterfuge&lt;1,1,0)</f>
        <v>0</v>
      </c>
      <c r="D8" s="248" t="s">
        <v>21</v>
      </c>
      <c r="E8" s="248" t="s">
        <v>156</v>
      </c>
      <c r="F8" s="248" t="str">
        <f>IF(covenant1="Carthian Movement", "Local", "Unavailable")</f>
        <v>Unavailable</v>
      </c>
      <c r="G8" s="248" t="s">
        <v>2269</v>
      </c>
      <c r="H8" s="248">
        <v>30</v>
      </c>
      <c r="I8" s="248" t="str">
        <f>IF(AND(auspex&gt;3,obfuscate&gt;3),"Yes","No")</f>
        <v>No</v>
      </c>
    </row>
    <row r="9" spans="1:9" ht="16.5" customHeight="1" x14ac:dyDescent="0.25">
      <c r="A9" s="2" t="s">
        <v>135</v>
      </c>
      <c r="B9" s="248" t="s">
        <v>11</v>
      </c>
      <c r="C9" s="248">
        <f>manipulation+expression+nightmare-IF(expression&lt;1,1,0)</f>
        <v>0</v>
      </c>
      <c r="D9" s="248" t="s">
        <v>136</v>
      </c>
      <c r="E9" s="248" t="s">
        <v>37</v>
      </c>
      <c r="F9" s="248" t="str">
        <f>IF(covenant1="Carthian Movement", "Local", "Unavailable")</f>
        <v>Unavailable</v>
      </c>
      <c r="G9" s="248" t="s">
        <v>2271</v>
      </c>
      <c r="H9" s="248">
        <v>12</v>
      </c>
      <c r="I9" s="248" t="str">
        <f>IF(AND(dominate&gt;1,nightmare&gt;1),"Yes","No")</f>
        <v>No</v>
      </c>
    </row>
    <row r="10" spans="1:9" ht="16.5" customHeight="1" x14ac:dyDescent="0.25">
      <c r="A10" s="2" t="s">
        <v>137</v>
      </c>
      <c r="B10" s="248" t="s">
        <v>11</v>
      </c>
      <c r="C10" s="248">
        <f>manipulation+expression+majesty-IF(expression&lt;1,1,0)</f>
        <v>0</v>
      </c>
      <c r="D10" s="248" t="s">
        <v>21</v>
      </c>
      <c r="E10" s="248" t="s">
        <v>12</v>
      </c>
      <c r="F10" s="248" t="str">
        <f>IF(covenant1="Carthian Movement", "Local", "Unavailable")</f>
        <v>Unavailable</v>
      </c>
      <c r="G10" s="248" t="s">
        <v>2271</v>
      </c>
      <c r="H10" s="248">
        <v>12</v>
      </c>
      <c r="I10" s="248" t="str">
        <f>IF(AND(majesty&gt;1,obfuscate&gt;1),"Yes","No")</f>
        <v>No</v>
      </c>
    </row>
    <row r="11" spans="1:9" ht="16.5" customHeight="1" x14ac:dyDescent="0.25">
      <c r="A11" s="2" t="s">
        <v>84</v>
      </c>
      <c r="B11" s="248" t="s">
        <v>11</v>
      </c>
      <c r="C11" s="248" t="s">
        <v>12</v>
      </c>
      <c r="D11" s="248" t="s">
        <v>85</v>
      </c>
      <c r="E11" s="248" t="s">
        <v>12</v>
      </c>
      <c r="F11" s="248" t="str">
        <f>IF(bloodline="Richmond", "Local", "Unavailable")</f>
        <v>Unavailable</v>
      </c>
      <c r="G11" s="248" t="s">
        <v>86</v>
      </c>
      <c r="H11" s="248">
        <v>25</v>
      </c>
      <c r="I11" s="248" t="str">
        <f>IF(AND(bloodline="Richmond",animalism&gt;3,protean&gt;3),"Yes","No")</f>
        <v>No</v>
      </c>
    </row>
    <row r="12" spans="1:9" ht="16.5" customHeight="1" x14ac:dyDescent="0.25">
      <c r="A12" s="2" t="s">
        <v>158</v>
      </c>
      <c r="B12" s="248" t="s">
        <v>11</v>
      </c>
      <c r="C12" s="248">
        <f>intelligence+intimidation+dominate-IF(intimidation&lt;1,1,0)</f>
        <v>0</v>
      </c>
      <c r="D12" s="248" t="s">
        <v>36</v>
      </c>
      <c r="E12" s="248" t="s">
        <v>37</v>
      </c>
      <c r="F12" s="248" t="str">
        <f>IF(covenant1="Carthian Movement", "Local", "Unavailable")</f>
        <v>Unavailable</v>
      </c>
      <c r="G12" s="248" t="s">
        <v>2272</v>
      </c>
      <c r="H12" s="248">
        <v>5</v>
      </c>
      <c r="I12" s="248" t="str">
        <f>IF(AND(dominate&gt;0,vigor&gt;0),"Yes","No")</f>
        <v>No</v>
      </c>
    </row>
    <row r="13" spans="1:9" ht="16.5" customHeight="1" x14ac:dyDescent="0.25">
      <c r="A13" s="2" t="s">
        <v>10</v>
      </c>
      <c r="B13" s="248" t="s">
        <v>11</v>
      </c>
      <c r="C13" s="248" t="s">
        <v>12</v>
      </c>
      <c r="D13" s="248" t="s">
        <v>13</v>
      </c>
      <c r="E13" s="248" t="s">
        <v>12</v>
      </c>
      <c r="F13" s="248" t="s">
        <v>14</v>
      </c>
      <c r="G13" s="248" t="s">
        <v>15</v>
      </c>
      <c r="H13" s="248">
        <v>5</v>
      </c>
      <c r="I13" s="248" t="str">
        <f>IF(AND(protean&gt;0,vigor&gt;0),"Yes","No")</f>
        <v>No</v>
      </c>
    </row>
    <row r="14" spans="1:9" ht="16.5" customHeight="1" x14ac:dyDescent="0.25">
      <c r="A14" s="2" t="s">
        <v>16</v>
      </c>
      <c r="B14" s="248" t="s">
        <v>11</v>
      </c>
      <c r="C14" s="248">
        <f>composure+athletics+resilience-IF(athletics=0,1,0)</f>
        <v>0</v>
      </c>
      <c r="D14" s="248" t="s">
        <v>13</v>
      </c>
      <c r="E14" s="248" t="s">
        <v>12</v>
      </c>
      <c r="F14" s="248" t="s">
        <v>14</v>
      </c>
      <c r="G14" s="248" t="s">
        <v>1617</v>
      </c>
      <c r="H14" s="248">
        <v>15</v>
      </c>
      <c r="I14" s="248" t="str">
        <f>IF(AND(resilience&gt;2,vigor&gt;0),"Yes","No")</f>
        <v>No</v>
      </c>
    </row>
    <row r="15" spans="1:9" ht="16.5" customHeight="1" x14ac:dyDescent="0.25">
      <c r="A15" s="2" t="s">
        <v>157</v>
      </c>
      <c r="B15" s="248" t="s">
        <v>11</v>
      </c>
      <c r="C15" s="248">
        <f>intelligence+occult+obfuscate-IF(occult=0,3,0)</f>
        <v>-2</v>
      </c>
      <c r="D15" s="248" t="s">
        <v>21</v>
      </c>
      <c r="E15" s="248" t="s">
        <v>12</v>
      </c>
      <c r="F15" s="248" t="str">
        <f>IF(covenant1="Carthian Movement", "Local", "Unavailable")</f>
        <v>Unavailable</v>
      </c>
      <c r="G15" s="248" t="s">
        <v>2273</v>
      </c>
      <c r="H15" s="248">
        <v>15</v>
      </c>
      <c r="I15" s="248" t="str">
        <f>IF(AND(animalism&gt;3,obfuscate&gt;1),"Yes","No")</f>
        <v>No</v>
      </c>
    </row>
    <row r="16" spans="1:9" ht="16.5" customHeight="1" x14ac:dyDescent="0.25">
      <c r="A16" s="2" t="s">
        <v>2282</v>
      </c>
      <c r="B16" s="248" t="s">
        <v>51</v>
      </c>
      <c r="C16" s="248">
        <f>strength+athletics+celerity-IF(athletics=0,1,0)</f>
        <v>0</v>
      </c>
      <c r="D16" s="248" t="s">
        <v>21</v>
      </c>
      <c r="E16" s="248" t="s">
        <v>12</v>
      </c>
      <c r="F16" s="248" t="str">
        <f>IF(bloodline="Caporetti", "Local", "Unavailable")</f>
        <v>Unavailable</v>
      </c>
      <c r="G16" s="248" t="s">
        <v>113</v>
      </c>
      <c r="H16" s="248">
        <v>12</v>
      </c>
      <c r="I16" s="248" t="str">
        <f>IF(AND(celerity&gt;1,vigor&gt;1),"Yes","No")</f>
        <v>No</v>
      </c>
    </row>
    <row r="17" spans="1:9" ht="16.5" customHeight="1" x14ac:dyDescent="0.25">
      <c r="A17" s="2" t="s">
        <v>90</v>
      </c>
      <c r="B17" s="248" t="s">
        <v>91</v>
      </c>
      <c r="C17" s="248" t="s">
        <v>12</v>
      </c>
      <c r="D17" s="248" t="s">
        <v>46</v>
      </c>
      <c r="E17" s="248" t="s">
        <v>12</v>
      </c>
      <c r="F17" s="248" t="str">
        <f>IF(clan1="Mekhet","Local","Unavailable")</f>
        <v>Unavailable</v>
      </c>
      <c r="G17" s="248" t="s">
        <v>2312</v>
      </c>
      <c r="H17" s="248">
        <v>6</v>
      </c>
      <c r="I17" s="248" t="str">
        <f>IF(AND(clan1="Mekhet",auspex&gt;2),"Yes","No")</f>
        <v>No</v>
      </c>
    </row>
    <row r="18" spans="1:9" ht="16.5" customHeight="1" x14ac:dyDescent="0.25">
      <c r="A18" s="2" t="s">
        <v>164</v>
      </c>
      <c r="B18" s="248" t="s">
        <v>51</v>
      </c>
      <c r="C18" s="248">
        <f>manipulation+intimidation+nightmare-IF(intimidation&lt;1,1,0)</f>
        <v>0</v>
      </c>
      <c r="D18" s="248" t="s">
        <v>21</v>
      </c>
      <c r="E18" s="248" t="s">
        <v>12</v>
      </c>
      <c r="F18" s="248" t="str">
        <f>IF(covenant1="Circle of the Crone", "Local", "Unavailable")</f>
        <v>Unavailable</v>
      </c>
      <c r="G18" s="248" t="s">
        <v>165</v>
      </c>
      <c r="H18" s="248">
        <v>12</v>
      </c>
      <c r="I18" s="248" t="str">
        <f>IF(AND(cruac&gt;1,nightmare&gt;1),"Yes","No")</f>
        <v>No</v>
      </c>
    </row>
    <row r="19" spans="1:9" ht="16.5" customHeight="1" x14ac:dyDescent="0.25">
      <c r="A19" s="2" t="s">
        <v>82</v>
      </c>
      <c r="B19" s="248" t="s">
        <v>11</v>
      </c>
      <c r="C19" s="248">
        <f>stamina+stealth+protean-IF(stealth&lt;1,1,0)</f>
        <v>0</v>
      </c>
      <c r="D19" s="248" t="s">
        <v>21</v>
      </c>
      <c r="E19" s="248" t="s">
        <v>12</v>
      </c>
      <c r="F19" s="248" t="str">
        <f>IF(bloodline="The Hounds of Actaeon", "Local", "Unavailable")</f>
        <v>Unavailable</v>
      </c>
      <c r="G19" s="248" t="s">
        <v>83</v>
      </c>
      <c r="H19" s="248">
        <v>12</v>
      </c>
      <c r="I19" s="248" t="str">
        <f>IF(AND(protean&gt;1,obfuscate&gt;1),"Yes","No")</f>
        <v>No</v>
      </c>
    </row>
    <row r="20" spans="1:9" ht="16.5" customHeight="1" x14ac:dyDescent="0.25">
      <c r="A20" s="2" t="s">
        <v>2293</v>
      </c>
      <c r="B20" s="248" t="s">
        <v>51</v>
      </c>
      <c r="C20" s="248">
        <f>wits+animalken+animalism-IF(animalken&lt;1,1,0)</f>
        <v>0</v>
      </c>
      <c r="D20" s="248" t="s">
        <v>21</v>
      </c>
      <c r="E20" s="248" t="s">
        <v>12</v>
      </c>
      <c r="F20" s="248" t="s">
        <v>32</v>
      </c>
      <c r="G20" s="248" t="s">
        <v>2294</v>
      </c>
      <c r="H20" s="248">
        <v>6</v>
      </c>
      <c r="I20" s="248" t="str">
        <f>IF(AND(animalism&gt;0,covenant1="Belials Brood"),"Yes","No")</f>
        <v>No</v>
      </c>
    </row>
    <row r="21" spans="1:9" ht="16.5" customHeight="1" x14ac:dyDescent="0.25">
      <c r="A21" s="2" t="s">
        <v>70</v>
      </c>
      <c r="B21" s="248" t="s">
        <v>11</v>
      </c>
      <c r="C21" s="248">
        <f>manipulation+subterfuge+majesty-IF(subterfuge=0,1,0)</f>
        <v>0</v>
      </c>
      <c r="D21" s="248" t="s">
        <v>36</v>
      </c>
      <c r="E21" s="248" t="s">
        <v>41</v>
      </c>
      <c r="F21" s="248" t="str">
        <f>IF(bloodline="Nelapsi", "Local", "Unavailable")</f>
        <v>Unavailable</v>
      </c>
      <c r="G21" s="248" t="s">
        <v>71</v>
      </c>
      <c r="H21" s="248">
        <v>10</v>
      </c>
      <c r="I21" s="248" t="str">
        <f>IF(AND(bloodline="Nelapsi",nightmare&gt;1,majesty&gt;1),"Yes","No")</f>
        <v>No</v>
      </c>
    </row>
    <row r="22" spans="1:9" ht="16.5" customHeight="1" x14ac:dyDescent="0.25">
      <c r="A22" s="2" t="s">
        <v>138</v>
      </c>
      <c r="B22" s="248" t="s">
        <v>18</v>
      </c>
      <c r="C22" s="248">
        <f>intelligence+stealth+auspex-IF(stealth&lt;1,1,0)</f>
        <v>0</v>
      </c>
      <c r="D22" s="248" t="s">
        <v>21</v>
      </c>
      <c r="E22" s="248" t="s">
        <v>12</v>
      </c>
      <c r="F22" s="248" t="str">
        <f>IF(covenant1="Carthian Movement", "Local", "Unavailable")</f>
        <v>Unavailable</v>
      </c>
      <c r="G22" s="248" t="s">
        <v>2274</v>
      </c>
      <c r="H22" s="248">
        <v>15</v>
      </c>
      <c r="I22" s="248" t="str">
        <f>IF(AND(auspex&gt;2,obfuscate&gt;2),"Yes","No")</f>
        <v>No</v>
      </c>
    </row>
    <row r="23" spans="1:9" ht="16.5" customHeight="1" x14ac:dyDescent="0.25">
      <c r="A23" s="2" t="s">
        <v>2295</v>
      </c>
      <c r="B23" s="248" t="s">
        <v>18</v>
      </c>
      <c r="C23" s="248">
        <f>presence+occult+auspex-IF(occult&lt;1,3,0)</f>
        <v>-2</v>
      </c>
      <c r="D23" s="248" t="s">
        <v>21</v>
      </c>
      <c r="E23" s="248" t="s">
        <v>12</v>
      </c>
      <c r="F23" s="248" t="s">
        <v>32</v>
      </c>
      <c r="G23" s="248" t="s">
        <v>2296</v>
      </c>
      <c r="H23" s="248">
        <v>15</v>
      </c>
      <c r="I23" s="248" t="str">
        <f ca="1">IF(AND(auspex&gt;2,obfuscate&gt;1,'Character Sheet'!AW134&gt;0),"Yes","No")</f>
        <v>No</v>
      </c>
    </row>
    <row r="24" spans="1:9" ht="16.5" customHeight="1" x14ac:dyDescent="0.25">
      <c r="A24" s="2" t="s">
        <v>139</v>
      </c>
      <c r="B24" s="248" t="s">
        <v>140</v>
      </c>
      <c r="C24" s="248">
        <f>resolve+composure+resilience</f>
        <v>2</v>
      </c>
      <c r="D24" s="248" t="s">
        <v>21</v>
      </c>
      <c r="E24" s="248" t="s">
        <v>12</v>
      </c>
      <c r="F24" s="248" t="str">
        <f>IF(covenant1="Carthian Movement", "Local", "Unavailable")</f>
        <v>Unavailable</v>
      </c>
      <c r="G24" s="248" t="s">
        <v>2275</v>
      </c>
      <c r="H24" s="248">
        <v>8</v>
      </c>
      <c r="I24" s="248" t="str">
        <f>IF(AND(resilience&gt;0,nightmare&gt;0),"Yes","No")</f>
        <v>No</v>
      </c>
    </row>
    <row r="25" spans="1:9" ht="16.5" customHeight="1" x14ac:dyDescent="0.25">
      <c r="A25" s="2" t="s">
        <v>2297</v>
      </c>
      <c r="B25" s="248" t="s">
        <v>11</v>
      </c>
      <c r="C25" s="248">
        <f>wits+empathy+animalism-IF(empathy&lt;1,1,0)</f>
        <v>0</v>
      </c>
      <c r="D25" s="248" t="s">
        <v>136</v>
      </c>
      <c r="E25" s="248" t="s">
        <v>37</v>
      </c>
      <c r="F25" s="248" t="s">
        <v>32</v>
      </c>
      <c r="G25" s="248" t="s">
        <v>2294</v>
      </c>
      <c r="H25" s="248">
        <v>9</v>
      </c>
      <c r="I25" s="248" t="str">
        <f>IF(AND(animalism&gt;1,covenant1="Belials Brood"),"Yes","No")</f>
        <v>No</v>
      </c>
    </row>
    <row r="26" spans="1:9" ht="16.5" customHeight="1" x14ac:dyDescent="0.25">
      <c r="A26" s="2" t="s">
        <v>2298</v>
      </c>
      <c r="B26" s="248" t="s">
        <v>11</v>
      </c>
      <c r="C26" s="248">
        <f>presence+intimidation+majesty-IF(intimidation&lt;1,1,0)</f>
        <v>0</v>
      </c>
      <c r="D26" s="248" t="s">
        <v>36</v>
      </c>
      <c r="E26" s="248" t="s">
        <v>37</v>
      </c>
      <c r="F26" s="248" t="s">
        <v>32</v>
      </c>
      <c r="G26" s="248" t="s">
        <v>2299</v>
      </c>
      <c r="H26" s="248">
        <v>6</v>
      </c>
      <c r="I26" s="248" t="str">
        <f>IF(AND(majesty&gt;1,covenant1="Belials Brood"),"Yes","No")</f>
        <v>No</v>
      </c>
    </row>
    <row r="27" spans="1:9" ht="16.5" customHeight="1" x14ac:dyDescent="0.25">
      <c r="A27" s="2" t="s">
        <v>93</v>
      </c>
      <c r="B27" s="248" t="s">
        <v>18</v>
      </c>
      <c r="C27" s="248">
        <f>intelligence+academics+dominate-IF(academics=0,3,0)</f>
        <v>-2</v>
      </c>
      <c r="D27" s="248" t="s">
        <v>46</v>
      </c>
      <c r="E27" s="248" t="s">
        <v>12</v>
      </c>
      <c r="F27" s="248" t="str">
        <f>IF(bloodline="Agonistes", "Local", "Unavailable")</f>
        <v>Unavailable</v>
      </c>
      <c r="G27" s="248" t="s">
        <v>94</v>
      </c>
      <c r="H27" s="248">
        <v>24</v>
      </c>
      <c r="I27" s="248" t="str">
        <f>IF(AND(auspex&gt;3,dominate&gt;3),"Yes","No")</f>
        <v>No</v>
      </c>
    </row>
    <row r="28" spans="1:9" ht="16.5" customHeight="1" x14ac:dyDescent="0.25">
      <c r="A28" s="2" t="s">
        <v>2283</v>
      </c>
      <c r="B28" s="248" t="s">
        <v>91</v>
      </c>
      <c r="C28" s="248">
        <f>manipulation+persuasion+majesty-IF(persuasion&lt;1,1,0)</f>
        <v>0</v>
      </c>
      <c r="D28" s="248" t="s">
        <v>36</v>
      </c>
      <c r="E28" s="248" t="s">
        <v>41</v>
      </c>
      <c r="F28" s="248" t="str">
        <f>IF(covenant1="Ordo Dracul","Local","Unavailable")</f>
        <v>Unavailable</v>
      </c>
      <c r="G28" s="248" t="s">
        <v>2284</v>
      </c>
      <c r="H28" s="248">
        <v>10</v>
      </c>
      <c r="I28" s="248" t="str">
        <f>IF(AND(majesty&gt;1,spoiling&gt;1),"Yes","No")</f>
        <v>No</v>
      </c>
    </row>
    <row r="29" spans="1:9" ht="16.5" customHeight="1" x14ac:dyDescent="0.25">
      <c r="A29" s="2" t="s">
        <v>17</v>
      </c>
      <c r="B29" s="248" t="s">
        <v>18</v>
      </c>
      <c r="C29" s="248" t="s">
        <v>12</v>
      </c>
      <c r="D29" s="248" t="s">
        <v>13</v>
      </c>
      <c r="E29" s="248" t="s">
        <v>12</v>
      </c>
      <c r="F29" s="248" t="s">
        <v>14</v>
      </c>
      <c r="G29" s="248" t="s">
        <v>19</v>
      </c>
      <c r="H29" s="248">
        <v>10</v>
      </c>
      <c r="I29" s="248" t="str">
        <f>IF(AND(dominate&gt;1,majesty&gt;0),"Yes","No")</f>
        <v>No</v>
      </c>
    </row>
    <row r="30" spans="1:9" ht="16.5" customHeight="1" x14ac:dyDescent="0.25">
      <c r="A30" s="2" t="s">
        <v>2300</v>
      </c>
      <c r="B30" s="248" t="s">
        <v>2334</v>
      </c>
      <c r="C30" s="248">
        <f>intelligence+occult+auspex-IF(occult&lt;1,3,0)</f>
        <v>-2</v>
      </c>
      <c r="D30" s="248" t="s">
        <v>46</v>
      </c>
      <c r="E30" s="248" t="s">
        <v>12</v>
      </c>
      <c r="F30" s="248" t="str">
        <f>IF(bloodline="mnemosyne","Genre","Unavailable")</f>
        <v>Unavailable</v>
      </c>
      <c r="G30" s="248" t="s">
        <v>2296</v>
      </c>
      <c r="H30" s="248">
        <v>12</v>
      </c>
      <c r="I30" s="248" t="str">
        <f ca="1">IF(AND(auspex&gt;2,BloodDis&gt;0,'Character Sheet'!AW134&gt;0),"Yes","No")</f>
        <v>No</v>
      </c>
    </row>
    <row r="31" spans="1:9" ht="16.5" customHeight="1" x14ac:dyDescent="0.25">
      <c r="A31" s="2" t="s">
        <v>95</v>
      </c>
      <c r="B31" s="248" t="s">
        <v>51</v>
      </c>
      <c r="C31" s="248">
        <f>intelligence+academics+dominate-IF(academics=0,3,0)</f>
        <v>-2</v>
      </c>
      <c r="D31" s="248" t="s">
        <v>46</v>
      </c>
      <c r="E31" s="248" t="s">
        <v>12</v>
      </c>
      <c r="F31" s="248" t="str">
        <f>IF(bloodline="Agonistes", "Local", "Unavailable")</f>
        <v>Unavailable</v>
      </c>
      <c r="G31" s="248" t="s">
        <v>96</v>
      </c>
      <c r="H31" s="248">
        <v>18</v>
      </c>
      <c r="I31" s="248" t="str">
        <f>IF(AND(auspex&gt;3,dominate&gt;1),"Yes","No")</f>
        <v>No</v>
      </c>
    </row>
    <row r="32" spans="1:9" ht="16.5" customHeight="1" x14ac:dyDescent="0.25">
      <c r="A32" s="2" t="s">
        <v>2285</v>
      </c>
      <c r="B32" s="248" t="s">
        <v>11</v>
      </c>
      <c r="C32" s="248">
        <f>wits+investigation+auspex-IF(investigation&lt;1,3,0)</f>
        <v>-2</v>
      </c>
      <c r="D32" s="248" t="s">
        <v>36</v>
      </c>
      <c r="E32" s="248" t="s">
        <v>48</v>
      </c>
      <c r="F32" s="248" t="str">
        <f>IF(covenant1="Ordo Dracul","Local","Unavailable")</f>
        <v>Unavailable</v>
      </c>
      <c r="G32" s="248" t="s">
        <v>2284</v>
      </c>
      <c r="H32" s="248">
        <v>6</v>
      </c>
      <c r="I32" s="248" t="str">
        <f>IF(AND(auspex&gt;0,spoiling&gt;0),"Yes","No")</f>
        <v>No</v>
      </c>
    </row>
    <row r="33" spans="1:9" ht="16.5" customHeight="1" x14ac:dyDescent="0.25">
      <c r="A33" s="2" t="s">
        <v>64</v>
      </c>
      <c r="B33" s="248" t="s">
        <v>11</v>
      </c>
      <c r="C33" s="248" t="s">
        <v>12</v>
      </c>
      <c r="D33" s="248" t="s">
        <v>13</v>
      </c>
      <c r="E33" s="248" t="s">
        <v>12</v>
      </c>
      <c r="F33" s="248" t="s">
        <v>14</v>
      </c>
      <c r="G33" s="248" t="s">
        <v>33</v>
      </c>
      <c r="H33" s="248">
        <v>6</v>
      </c>
      <c r="I33" s="248" t="str">
        <f>IF(AND(auspex&gt;0,celerity&gt;0),"Yes","No")</f>
        <v>No</v>
      </c>
    </row>
    <row r="34" spans="1:9" ht="16.5" customHeight="1" x14ac:dyDescent="0.25">
      <c r="A34" s="2" t="s">
        <v>171</v>
      </c>
      <c r="B34" s="248" t="s">
        <v>11</v>
      </c>
      <c r="C34" s="248">
        <f>intelligence+occult+auspex-IF(occult&lt;1,3,0)</f>
        <v>-2</v>
      </c>
      <c r="D34" s="248" t="s">
        <v>13</v>
      </c>
      <c r="E34" s="248" t="s">
        <v>58</v>
      </c>
      <c r="F34" s="248" t="str">
        <f>IF(covenant1="Ordo Dracul", "Local", "Unavailable")</f>
        <v>Unavailable</v>
      </c>
      <c r="G34" s="248" t="s">
        <v>172</v>
      </c>
      <c r="H34" s="248">
        <v>10</v>
      </c>
      <c r="I34" s="248" t="str">
        <f>IF(AND(auspex&gt;1,totalcoils&gt;0),"Yes","No")</f>
        <v>No</v>
      </c>
    </row>
    <row r="35" spans="1:9" ht="16.5" customHeight="1" x14ac:dyDescent="0.25">
      <c r="A35" s="2" t="s">
        <v>102</v>
      </c>
      <c r="B35" s="248" t="s">
        <v>11</v>
      </c>
      <c r="C35" s="248">
        <f>manipulation+expression+obfuscate-IF(expression&lt;1,1,0)</f>
        <v>0</v>
      </c>
      <c r="D35" s="248" t="s">
        <v>21</v>
      </c>
      <c r="E35" s="248" t="s">
        <v>12</v>
      </c>
      <c r="F35" s="248" t="str">
        <f>IF(bloodline="Players", "Local", "Unavailable")</f>
        <v>Unavailable</v>
      </c>
      <c r="G35" s="248" t="s">
        <v>103</v>
      </c>
      <c r="H35" s="248">
        <v>15</v>
      </c>
      <c r="I35" s="248" t="str">
        <f>IF(AND(majesty&gt;0,obfuscate&gt;2),"Yes","No")</f>
        <v>No</v>
      </c>
    </row>
    <row r="36" spans="1:9" ht="16.5" customHeight="1" x14ac:dyDescent="0.25">
      <c r="A36" s="2" t="s">
        <v>20</v>
      </c>
      <c r="B36" s="248" t="s">
        <v>11</v>
      </c>
      <c r="C36" s="248" t="s">
        <v>12</v>
      </c>
      <c r="D36" s="248" t="s">
        <v>21</v>
      </c>
      <c r="E36" s="248" t="s">
        <v>12</v>
      </c>
      <c r="F36" s="248" t="s">
        <v>14</v>
      </c>
      <c r="G36" s="248" t="s">
        <v>15</v>
      </c>
      <c r="H36" s="248">
        <v>12</v>
      </c>
      <c r="I36" s="248" t="str">
        <f>IF(AND(protean&gt;3,resilience&gt;0),"Yes","No")</f>
        <v>No</v>
      </c>
    </row>
    <row r="37" spans="1:9" ht="16.5" customHeight="1" x14ac:dyDescent="0.25">
      <c r="A37" s="2" t="s">
        <v>141</v>
      </c>
      <c r="B37" s="248" t="s">
        <v>85</v>
      </c>
      <c r="C37" s="248" t="s">
        <v>12</v>
      </c>
      <c r="D37" s="248" t="s">
        <v>13</v>
      </c>
      <c r="E37" s="248" t="s">
        <v>12</v>
      </c>
      <c r="F37" s="248" t="str">
        <f>IF(covenant1="Carthian Movement", "Local", "Unavailable")</f>
        <v>Unavailable</v>
      </c>
      <c r="G37" s="248" t="s">
        <v>2276</v>
      </c>
      <c r="H37" s="248">
        <v>12</v>
      </c>
      <c r="I37" s="248" t="str">
        <f>IF(AND(celerity&gt;1,resilience&gt;1),"Yes","No")</f>
        <v>No</v>
      </c>
    </row>
    <row r="38" spans="1:9" ht="16.5" customHeight="1" x14ac:dyDescent="0.25">
      <c r="A38" s="2" t="s">
        <v>173</v>
      </c>
      <c r="B38" s="248" t="s">
        <v>140</v>
      </c>
      <c r="C38" s="248" t="s">
        <v>12</v>
      </c>
      <c r="D38" s="248" t="s">
        <v>13</v>
      </c>
      <c r="E38" s="248" t="s">
        <v>12</v>
      </c>
      <c r="F38" s="248" t="s">
        <v>14</v>
      </c>
      <c r="G38" s="248" t="s">
        <v>174</v>
      </c>
      <c r="H38" s="248">
        <v>15</v>
      </c>
      <c r="I38" s="248" t="str">
        <f>IF(AND(vigor&gt;2,covenant1="Ordo Dracul",'Character Sheet'!I104="Yes"),"Yes","No")</f>
        <v>No</v>
      </c>
    </row>
    <row r="39" spans="1:9" ht="16.5" customHeight="1" x14ac:dyDescent="0.25">
      <c r="A39" s="2" t="s">
        <v>111</v>
      </c>
      <c r="B39" s="248" t="s">
        <v>18</v>
      </c>
      <c r="C39" s="248">
        <f>manipulation+intimidation+nightmare-IF(intimidation=0,1,0)</f>
        <v>0</v>
      </c>
      <c r="D39" s="248" t="s">
        <v>21</v>
      </c>
      <c r="E39" s="248" t="s">
        <v>112</v>
      </c>
      <c r="F39" s="248" t="str">
        <f>IF(bloodline="Caporetti", "Local", "Unavailable")</f>
        <v>Unavailable</v>
      </c>
      <c r="G39" s="248" t="s">
        <v>110</v>
      </c>
      <c r="H39" s="248">
        <v>18</v>
      </c>
      <c r="I39" s="248" t="str">
        <f>IF(AND(celerity&gt;1,nightmare&gt;3),"Yes","No")</f>
        <v>No</v>
      </c>
    </row>
    <row r="40" spans="1:9" ht="16.5" customHeight="1" x14ac:dyDescent="0.25">
      <c r="A40" s="2" t="s">
        <v>1624</v>
      </c>
      <c r="B40" s="248" t="s">
        <v>421</v>
      </c>
      <c r="C40" s="248">
        <f>intelligence+intimidation+dominate-IF(intimidation&lt;1,1,0)</f>
        <v>0</v>
      </c>
      <c r="D40" s="248" t="s">
        <v>131</v>
      </c>
      <c r="E40" s="248" t="s">
        <v>37</v>
      </c>
      <c r="F40" s="248" t="str">
        <f>IF(covenant1="Carthian Movement", "Local", "Unavailable")</f>
        <v>Unavailable</v>
      </c>
      <c r="G40" s="248" t="s">
        <v>2277</v>
      </c>
      <c r="H40" s="248">
        <v>20</v>
      </c>
      <c r="I40" s="248" t="str">
        <f>IF(AND(dominate&gt;3,obfuscate&gt;2),"Yes","No")</f>
        <v>No</v>
      </c>
    </row>
    <row r="41" spans="1:9" ht="16.5" customHeight="1" x14ac:dyDescent="0.25">
      <c r="A41" s="2" t="s">
        <v>142</v>
      </c>
      <c r="B41" s="248" t="s">
        <v>143</v>
      </c>
      <c r="C41" s="248" t="s">
        <v>12</v>
      </c>
      <c r="D41" s="248" t="s">
        <v>21</v>
      </c>
      <c r="E41" s="248" t="s">
        <v>12</v>
      </c>
      <c r="F41" s="248" t="str">
        <f>IF(covenant1="Carthian Movement", "Local", "Unavailable")</f>
        <v>Unavailable</v>
      </c>
      <c r="G41" s="248" t="s">
        <v>2276</v>
      </c>
      <c r="H41" s="248">
        <v>10</v>
      </c>
      <c r="I41" s="248" t="str">
        <f>IF(AND(auspex&gt;0,celerity&gt;0,resilience&gt;0),"Yes","No")</f>
        <v>No</v>
      </c>
    </row>
    <row r="42" spans="1:9" ht="16.5" customHeight="1" x14ac:dyDescent="0.25">
      <c r="A42" s="2" t="s">
        <v>1621</v>
      </c>
      <c r="B42" s="248" t="s">
        <v>143</v>
      </c>
      <c r="C42" s="248">
        <f>wits+socialize+auspex-IF(socialize&lt;0,1,0)</f>
        <v>1</v>
      </c>
      <c r="D42" s="248" t="s">
        <v>21</v>
      </c>
      <c r="E42" s="248" t="s">
        <v>12</v>
      </c>
      <c r="F42" s="248" t="str">
        <f>IF(covenant1="Carthian Movement", "Local", "Unavailable")</f>
        <v>Unavailable</v>
      </c>
      <c r="G42" s="248" t="s">
        <v>2278</v>
      </c>
      <c r="H42" s="248">
        <v>24</v>
      </c>
      <c r="I42" s="248" t="str">
        <f>IF(AND(auspex&gt;4,dominate&gt;3),"Yes","No")</f>
        <v>No</v>
      </c>
    </row>
    <row r="43" spans="1:9" ht="16.5" customHeight="1" x14ac:dyDescent="0.25">
      <c r="A43" s="2" t="s">
        <v>127</v>
      </c>
      <c r="B43" s="248" t="s">
        <v>18</v>
      </c>
      <c r="C43" s="248">
        <f>presence+animalken+animalism-IF(animalken&lt;1,1,0)</f>
        <v>0</v>
      </c>
      <c r="D43" s="248" t="s">
        <v>46</v>
      </c>
      <c r="E43" s="248" t="s">
        <v>12</v>
      </c>
      <c r="F43" s="248" t="str">
        <f>IF(clan1="Ventrue", "Local", "Unavailable")</f>
        <v>Unavailable</v>
      </c>
      <c r="G43" s="248" t="s">
        <v>52</v>
      </c>
      <c r="H43" s="248">
        <v>15</v>
      </c>
      <c r="I43" s="248" t="str">
        <f>IF(AND(animalism&gt;2,resilience&gt;0),"Yes","No")</f>
        <v>No</v>
      </c>
    </row>
    <row r="44" spans="1:9" ht="16.5" customHeight="1" x14ac:dyDescent="0.25">
      <c r="A44" s="2" t="s">
        <v>144</v>
      </c>
      <c r="B44" s="248" t="s">
        <v>145</v>
      </c>
      <c r="C44" s="248" t="s">
        <v>12</v>
      </c>
      <c r="D44" s="248" t="s">
        <v>13</v>
      </c>
      <c r="E44" s="248" t="s">
        <v>12</v>
      </c>
      <c r="F44" s="248" t="str">
        <f>IF(covenant1="Carthian Movement","Local","Unavailable")</f>
        <v>Unavailable</v>
      </c>
      <c r="G44" s="248" t="s">
        <v>2279</v>
      </c>
      <c r="H44" s="248">
        <v>6</v>
      </c>
      <c r="I44" s="248" t="str">
        <f>IF(AND(celerity&gt;0,vigor&gt;0),"Yes","No")</f>
        <v>No</v>
      </c>
    </row>
    <row r="45" spans="1:9" ht="16.5" customHeight="1" x14ac:dyDescent="0.25">
      <c r="A45" s="2" t="s">
        <v>146</v>
      </c>
      <c r="B45" s="248" t="s">
        <v>18</v>
      </c>
      <c r="C45" s="248" t="s">
        <v>12</v>
      </c>
      <c r="D45" s="248" t="s">
        <v>13</v>
      </c>
      <c r="E45" s="248" t="s">
        <v>12</v>
      </c>
      <c r="F45" s="248" t="str">
        <f>IF(covenant1="Carthian Movement", "Local", "Unavailable")</f>
        <v>Unavailable</v>
      </c>
      <c r="G45" s="248" t="s">
        <v>2272</v>
      </c>
      <c r="H45" s="248">
        <v>9</v>
      </c>
      <c r="I45" s="248" t="str">
        <f>IF(AND(dominate&gt;0,resilience&gt;0),"Yes","No")</f>
        <v>No</v>
      </c>
    </row>
    <row r="46" spans="1:9" ht="16.5" customHeight="1" x14ac:dyDescent="0.25">
      <c r="A46" s="2" t="s">
        <v>147</v>
      </c>
      <c r="B46" s="248" t="s">
        <v>140</v>
      </c>
      <c r="C46" s="248">
        <f>resolve+composure+resilience</f>
        <v>2</v>
      </c>
      <c r="D46" s="248" t="s">
        <v>21</v>
      </c>
      <c r="E46" s="248" t="s">
        <v>12</v>
      </c>
      <c r="F46" s="248" t="str">
        <f>IF(covenant1="Carthian Movement", "Local", "Unavailable")</f>
        <v>Unavailable</v>
      </c>
      <c r="G46" s="248" t="s">
        <v>2274</v>
      </c>
      <c r="H46" s="248">
        <v>8</v>
      </c>
      <c r="I46" s="248" t="str">
        <f>IF(AND(dominate&gt;0,resilience&gt;0),"Yes","No")</f>
        <v>No</v>
      </c>
    </row>
    <row r="47" spans="1:9" ht="16.5" customHeight="1" x14ac:dyDescent="0.25">
      <c r="A47" s="2" t="s">
        <v>87</v>
      </c>
      <c r="B47" s="248" t="s">
        <v>11</v>
      </c>
      <c r="C47" s="248">
        <f>presence+intimidation+dominate-IF(intimidation=0,1,0)</f>
        <v>0</v>
      </c>
      <c r="D47" s="248" t="s">
        <v>36</v>
      </c>
      <c r="E47" s="248" t="s">
        <v>41</v>
      </c>
      <c r="F47" s="248" t="str">
        <f>IF(bloodline="Richmond", "Local", "Unavailable")</f>
        <v>Unavailable</v>
      </c>
      <c r="G47" s="248" t="s">
        <v>88</v>
      </c>
      <c r="H47" s="248">
        <v>15</v>
      </c>
      <c r="I47" s="248" t="str">
        <f>IF(AND(bloodline="Richmond",dominate&gt;2,resilience&gt;1),"Yes","No")</f>
        <v>No</v>
      </c>
    </row>
    <row r="48" spans="1:9" ht="16.5" customHeight="1" x14ac:dyDescent="0.25">
      <c r="A48" s="2" t="s">
        <v>159</v>
      </c>
      <c r="B48" s="248" t="s">
        <v>55</v>
      </c>
      <c r="C48" s="248" t="s">
        <v>12</v>
      </c>
      <c r="D48" s="248" t="s">
        <v>13</v>
      </c>
      <c r="E48" s="248" t="s">
        <v>12</v>
      </c>
      <c r="F48" s="248" t="str">
        <f>IF(covenant1="Carthian Movement", "Local", "Unavailable")</f>
        <v>Unavailable</v>
      </c>
      <c r="G48" s="248" t="s">
        <v>2280</v>
      </c>
      <c r="H48" s="248">
        <v>12</v>
      </c>
      <c r="I48" s="248" t="str">
        <f>IF(AND(celerity&gt;0,majesty&gt;2),"Yes","No")</f>
        <v>No</v>
      </c>
    </row>
    <row r="49" spans="1:9" ht="16.5" customHeight="1" x14ac:dyDescent="0.25">
      <c r="A49" s="2" t="s">
        <v>22</v>
      </c>
      <c r="B49" s="248" t="s">
        <v>11</v>
      </c>
      <c r="C49" s="248">
        <f>stamina+survival+protean-IF(survival=0,1,0)</f>
        <v>0</v>
      </c>
      <c r="D49" s="248" t="s">
        <v>13</v>
      </c>
      <c r="E49" s="248" t="s">
        <v>12</v>
      </c>
      <c r="F49" s="248" t="s">
        <v>14</v>
      </c>
      <c r="G49" s="248" t="s">
        <v>1617</v>
      </c>
      <c r="H49" s="248">
        <v>18</v>
      </c>
      <c r="I49" s="248" t="str">
        <f>IF(AND(celerity&gt;1,protean&gt;3),"Yes","No")</f>
        <v>No</v>
      </c>
    </row>
    <row r="50" spans="1:9" ht="16.5" customHeight="1" x14ac:dyDescent="0.25">
      <c r="A50" s="2" t="s">
        <v>23</v>
      </c>
      <c r="B50" s="248" t="s">
        <v>11</v>
      </c>
      <c r="C50" s="248">
        <f>intelligence+survival+obfuscate-IF(survival=0,1,0)</f>
        <v>0</v>
      </c>
      <c r="D50" s="248" t="s">
        <v>21</v>
      </c>
      <c r="E50" s="248" t="s">
        <v>12</v>
      </c>
      <c r="F50" s="248" t="s">
        <v>14</v>
      </c>
      <c r="G50" s="248" t="s">
        <v>1617</v>
      </c>
      <c r="H50" s="248">
        <v>10</v>
      </c>
      <c r="I50" s="248" t="str">
        <f>IF(AND(obfuscate&gt;1,resilience&gt;1),"Yes","No")</f>
        <v>No</v>
      </c>
    </row>
    <row r="51" spans="1:9" ht="16.5" customHeight="1" x14ac:dyDescent="0.25">
      <c r="A51" s="2" t="s">
        <v>148</v>
      </c>
      <c r="B51" s="248" t="s">
        <v>69</v>
      </c>
      <c r="C51" s="248" t="s">
        <v>12</v>
      </c>
      <c r="D51" s="248" t="s">
        <v>13</v>
      </c>
      <c r="E51" s="248" t="s">
        <v>12</v>
      </c>
      <c r="F51" s="248" t="str">
        <f>IF(covenant1="Carthian Movement", "Local", "Unavailable")</f>
        <v>Unavailable</v>
      </c>
      <c r="G51" s="248" t="s">
        <v>2280</v>
      </c>
      <c r="H51" s="248">
        <v>8</v>
      </c>
      <c r="I51" s="248" t="str">
        <f>IF(AND(resilience&gt;0,vigor&gt;0),"Yes","No")</f>
        <v>No</v>
      </c>
    </row>
    <row r="52" spans="1:9" ht="16.5" customHeight="1" x14ac:dyDescent="0.25">
      <c r="A52" s="2" t="s">
        <v>61</v>
      </c>
      <c r="B52" s="248" t="s">
        <v>11</v>
      </c>
      <c r="C52" s="248">
        <f>intelligence+empathy+obfuscate-IF(empathy=0,1,0)</f>
        <v>0</v>
      </c>
      <c r="D52" s="248" t="s">
        <v>36</v>
      </c>
      <c r="E52" s="248" t="s">
        <v>37</v>
      </c>
      <c r="F52" s="248" t="s">
        <v>14</v>
      </c>
      <c r="G52" s="248" t="s">
        <v>1616</v>
      </c>
      <c r="H52" s="248">
        <v>21</v>
      </c>
      <c r="I52" s="248" t="str">
        <f>IF(AND(auspex&gt;3,obfuscate&gt;3),"Yes","No")</f>
        <v>No</v>
      </c>
    </row>
    <row r="53" spans="1:9" ht="16.5" customHeight="1" x14ac:dyDescent="0.25">
      <c r="A53" s="2" t="s">
        <v>24</v>
      </c>
      <c r="B53" s="248" t="s">
        <v>11</v>
      </c>
      <c r="C53" s="248">
        <f>resolve+investigation+resilience-IF(investigation=0,3,0)</f>
        <v>-2</v>
      </c>
      <c r="D53" s="248" t="s">
        <v>21</v>
      </c>
      <c r="E53" s="248" t="s">
        <v>25</v>
      </c>
      <c r="F53" s="248" t="s">
        <v>14</v>
      </c>
      <c r="G53" s="248" t="s">
        <v>1617</v>
      </c>
      <c r="H53" s="248">
        <v>12</v>
      </c>
      <c r="I53" s="248" t="str">
        <f>IF(AND(auspex&gt;0,resilience&gt;2),"Yes","No")</f>
        <v>No</v>
      </c>
    </row>
    <row r="54" spans="1:9" ht="16.5" customHeight="1" x14ac:dyDescent="0.25">
      <c r="A54" s="2" t="s">
        <v>2333</v>
      </c>
      <c r="B54" s="248" t="s">
        <v>11</v>
      </c>
      <c r="C54" s="248">
        <f>intelligence+expression+dominate-IF(expression&lt;1,1,0)</f>
        <v>0</v>
      </c>
      <c r="D54" s="248" t="s">
        <v>131</v>
      </c>
      <c r="E54" s="248" t="s">
        <v>37</v>
      </c>
      <c r="F54" s="248" t="str">
        <f>IF(covenant1="Ordo Dracul","Local","Unavailable")</f>
        <v>Unavailable</v>
      </c>
      <c r="G54" s="248" t="s">
        <v>2284</v>
      </c>
      <c r="H54" s="248">
        <v>15</v>
      </c>
      <c r="I54" s="248" t="str">
        <f>IF(AND(spoiling&gt;2,dominate&gt;2),"Yes","No")</f>
        <v>No</v>
      </c>
    </row>
    <row r="55" spans="1:9" ht="16.5" customHeight="1" x14ac:dyDescent="0.25">
      <c r="A55" s="2" t="s">
        <v>27</v>
      </c>
      <c r="B55" s="248" t="s">
        <v>11</v>
      </c>
      <c r="C55" s="248" t="s">
        <v>12</v>
      </c>
      <c r="D55" s="248" t="s">
        <v>13</v>
      </c>
      <c r="E55" s="248" t="s">
        <v>12</v>
      </c>
      <c r="F55" s="248" t="s">
        <v>14</v>
      </c>
      <c r="G55" s="248" t="s">
        <v>15</v>
      </c>
      <c r="H55" s="248">
        <v>10</v>
      </c>
      <c r="I55" s="248" t="str">
        <f>IF(AND(dominate&gt;1,resilience&gt;1),"Yes","No")</f>
        <v>No</v>
      </c>
    </row>
    <row r="56" spans="1:9" ht="16.5" customHeight="1" x14ac:dyDescent="0.25">
      <c r="A56" s="2" t="s">
        <v>100</v>
      </c>
      <c r="B56" s="248" t="s">
        <v>11</v>
      </c>
      <c r="C56" s="248">
        <f>presence+persuasion+BP-IF(persuasion&lt;1,1,0)</f>
        <v>1</v>
      </c>
      <c r="D56" s="248" t="s">
        <v>21</v>
      </c>
      <c r="E56" s="248" t="s">
        <v>12</v>
      </c>
      <c r="F56" s="248" t="str">
        <f>IF(bloodline="Players", "Local", "Unavailable")</f>
        <v>Unavailable</v>
      </c>
      <c r="G56" s="248" t="s">
        <v>101</v>
      </c>
      <c r="H56" s="248">
        <v>9</v>
      </c>
      <c r="I56" s="248" t="str">
        <f>IF(AND(majesty&gt;0,obfuscate&gt;1),"Yes","No")</f>
        <v>No</v>
      </c>
    </row>
    <row r="57" spans="1:9" ht="16.5" customHeight="1" x14ac:dyDescent="0.25">
      <c r="A57" s="2" t="s">
        <v>89</v>
      </c>
      <c r="B57" s="248" t="s">
        <v>18</v>
      </c>
      <c r="C57" s="248">
        <f>wits+expression+protean-IF(expression=0,1,0)</f>
        <v>0</v>
      </c>
      <c r="D57" s="248" t="s">
        <v>21</v>
      </c>
      <c r="E57" s="248" t="s">
        <v>25</v>
      </c>
      <c r="F57" s="248" t="str">
        <f>IF(bloodline="Richmond", "Local", "Unavailable")</f>
        <v>Unavailable</v>
      </c>
      <c r="G57" s="248" t="s">
        <v>88</v>
      </c>
      <c r="H57" s="248">
        <v>21</v>
      </c>
      <c r="I57" s="248" t="str">
        <f>IF(AND(bloodline="Richmond",dominate&gt;1,protean&gt;3, animalism&gt;0),"Yes","No")</f>
        <v>No</v>
      </c>
    </row>
    <row r="58" spans="1:9" ht="16.5" customHeight="1" x14ac:dyDescent="0.25">
      <c r="A58" s="2" t="s">
        <v>2301</v>
      </c>
      <c r="B58" s="248" t="s">
        <v>18</v>
      </c>
      <c r="C58" s="248">
        <f>wits+occult+auspex-IF(occult&lt;1,3,0)</f>
        <v>-2</v>
      </c>
      <c r="D58" s="248" t="s">
        <v>131</v>
      </c>
      <c r="E58" s="248" t="s">
        <v>41</v>
      </c>
      <c r="F58" s="248" t="s">
        <v>32</v>
      </c>
      <c r="G58" s="248" t="s">
        <v>2302</v>
      </c>
      <c r="H58" s="248">
        <v>15</v>
      </c>
      <c r="I58" s="248" t="str">
        <f ca="1">IF(AND(auspex&gt;2,celerity&gt;0,obfuscate&gt;0,'Character Sheet'!AW134&gt;0),"Yes","No")</f>
        <v>No</v>
      </c>
    </row>
    <row r="59" spans="1:9" ht="16.5" customHeight="1" x14ac:dyDescent="0.25">
      <c r="A59" s="2" t="s">
        <v>28</v>
      </c>
      <c r="B59" s="248" t="s">
        <v>11</v>
      </c>
      <c r="C59" s="248">
        <f>manipulation+animalken+obfuscate-IF(animalken&lt;1,1,0)</f>
        <v>0</v>
      </c>
      <c r="D59" s="248" t="s">
        <v>21</v>
      </c>
      <c r="E59" s="248" t="s">
        <v>12</v>
      </c>
      <c r="F59" s="248" t="s">
        <v>14</v>
      </c>
      <c r="G59" s="248" t="s">
        <v>29</v>
      </c>
      <c r="H59" s="248">
        <v>15</v>
      </c>
      <c r="I59" s="248" t="str">
        <f>IF(AND(obfuscate&gt;3,animalism&gt;0),"Yes","No")</f>
        <v>No</v>
      </c>
    </row>
    <row r="60" spans="1:9" ht="16.5" customHeight="1" x14ac:dyDescent="0.25">
      <c r="A60" s="2" t="s">
        <v>2286</v>
      </c>
      <c r="B60" s="248" t="s">
        <v>51</v>
      </c>
      <c r="C60" s="248" t="s">
        <v>12</v>
      </c>
      <c r="D60" s="248" t="s">
        <v>12</v>
      </c>
      <c r="E60" s="248" t="s">
        <v>12</v>
      </c>
      <c r="F60" s="248" t="str">
        <f>IF(covenant1="Ordo Dracul","Local","Unavailable")</f>
        <v>Unavailable</v>
      </c>
      <c r="G60" s="248" t="s">
        <v>174</v>
      </c>
      <c r="H60" s="248">
        <v>6</v>
      </c>
      <c r="I60" s="248" t="str">
        <f>IF(AND(obfuscate&gt;1,'Character Sheet'!E103&gt;0),"Yes","No")</f>
        <v>No</v>
      </c>
    </row>
    <row r="61" spans="1:9" ht="16.5" customHeight="1" x14ac:dyDescent="0.25">
      <c r="A61" s="2" t="s">
        <v>2303</v>
      </c>
      <c r="B61" s="248" t="s">
        <v>85</v>
      </c>
      <c r="C61" s="248">
        <f>manipulation+empathy+majesty-IF(empathy&lt;1,1,0)</f>
        <v>0</v>
      </c>
      <c r="D61" s="248" t="s">
        <v>85</v>
      </c>
      <c r="E61" s="248" t="s">
        <v>41</v>
      </c>
      <c r="F61" s="248" t="s">
        <v>32</v>
      </c>
      <c r="G61" s="248" t="s">
        <v>2299</v>
      </c>
      <c r="H61" s="248">
        <v>12</v>
      </c>
      <c r="I61" s="248" t="str">
        <f>IF(AND(majesty&gt;2,covenant1="Belials Brood"),"Yes","No")</f>
        <v>No</v>
      </c>
    </row>
    <row r="62" spans="1:9" ht="16.5" customHeight="1" x14ac:dyDescent="0.25">
      <c r="A62" s="2" t="s">
        <v>149</v>
      </c>
      <c r="B62" s="248" t="s">
        <v>11</v>
      </c>
      <c r="C62" s="248">
        <f>wits+occult+dominate-IF(occult&lt;1,3,0)</f>
        <v>-2</v>
      </c>
      <c r="D62" s="248" t="s">
        <v>46</v>
      </c>
      <c r="E62" s="248" t="s">
        <v>12</v>
      </c>
      <c r="F62" s="248" t="str">
        <f>IF(covenant1="Carthian Movement", "Local", "Unavailable")</f>
        <v>Unavailable</v>
      </c>
      <c r="G62" s="248" t="s">
        <v>2279</v>
      </c>
      <c r="H62" s="248">
        <v>15</v>
      </c>
      <c r="I62" s="248" t="str">
        <f>IF(AND(auspex&gt;2,dominate&gt;1),"Yes","No")</f>
        <v>No</v>
      </c>
    </row>
    <row r="63" spans="1:9" ht="16.5" customHeight="1" x14ac:dyDescent="0.25">
      <c r="A63" s="2" t="s">
        <v>124</v>
      </c>
      <c r="B63" s="248" t="s">
        <v>125</v>
      </c>
      <c r="C63" s="248">
        <f>presence+expression+dominate-IF(expression&lt;1,1,0)</f>
        <v>0</v>
      </c>
      <c r="D63" s="248" t="s">
        <v>121</v>
      </c>
      <c r="E63" s="248" t="s">
        <v>12</v>
      </c>
      <c r="F63" s="248" t="str">
        <f>IF(clan1="Ventrue", "Local", "Unavailable")</f>
        <v>Unavailable</v>
      </c>
      <c r="G63" s="248" t="s">
        <v>126</v>
      </c>
      <c r="H63" s="248">
        <v>15</v>
      </c>
      <c r="I63" s="248" t="str">
        <f>IF(AND(dominate&gt;2,resilience&gt;0),"Yes","No")</f>
        <v>No</v>
      </c>
    </row>
    <row r="64" spans="1:9" ht="16.5" customHeight="1" x14ac:dyDescent="0.25">
      <c r="A64" s="2" t="s">
        <v>30</v>
      </c>
      <c r="B64" s="248" t="s">
        <v>31</v>
      </c>
      <c r="C64" s="248">
        <f>presence+persuasion+majesty-IF(persuasion=0,1,0)</f>
        <v>0</v>
      </c>
      <c r="D64" s="248" t="s">
        <v>21</v>
      </c>
      <c r="E64" s="248" t="s">
        <v>12</v>
      </c>
      <c r="F64" s="248" t="s">
        <v>14</v>
      </c>
      <c r="G64" s="248" t="s">
        <v>33</v>
      </c>
      <c r="H64" s="248">
        <v>15</v>
      </c>
      <c r="I64" s="248" t="str">
        <f>IF(AND(majesty&gt;3,protean&gt;0),"Yes","No")</f>
        <v>No</v>
      </c>
    </row>
    <row r="65" spans="1:9" ht="16.5" customHeight="1" x14ac:dyDescent="0.25">
      <c r="A65" s="2" t="s">
        <v>66</v>
      </c>
      <c r="B65" s="248" t="s">
        <v>31</v>
      </c>
      <c r="C65" s="248" t="s">
        <v>12</v>
      </c>
      <c r="D65" s="248" t="s">
        <v>21</v>
      </c>
      <c r="E65" s="248" t="s">
        <v>12</v>
      </c>
      <c r="F65" s="248" t="str">
        <f>IF(clan1="Daeva", "Local", "Unavailable")</f>
        <v>Unavailable</v>
      </c>
      <c r="G65" s="248" t="s">
        <v>67</v>
      </c>
      <c r="H65" s="248">
        <v>10</v>
      </c>
      <c r="I65" s="248" t="str">
        <f>IF(AND(vigor&gt;0,majesty&gt;0),"Yes","No")</f>
        <v>No</v>
      </c>
    </row>
    <row r="66" spans="1:9" ht="16.5" customHeight="1" x14ac:dyDescent="0.25">
      <c r="A66" s="2" t="s">
        <v>160</v>
      </c>
      <c r="B66" s="248" t="s">
        <v>161</v>
      </c>
      <c r="C66" s="248">
        <f>intelligence+occult+obfuscate-IF(occult=0,3,0)</f>
        <v>-2</v>
      </c>
      <c r="D66" s="248" t="s">
        <v>21</v>
      </c>
      <c r="E66" s="248" t="s">
        <v>12</v>
      </c>
      <c r="F66" s="248" t="str">
        <f>IF(covenant1="Carthian Movement", "Local", "Unavailable")</f>
        <v>Unavailable</v>
      </c>
      <c r="G66" s="248" t="s">
        <v>2278</v>
      </c>
      <c r="H66" s="248">
        <v>15</v>
      </c>
      <c r="I66" s="248" t="str">
        <f>IF(AND(auspex&gt;4,obfuscate&gt;1),"Yes","No")</f>
        <v>No</v>
      </c>
    </row>
    <row r="67" spans="1:9" ht="16.5" customHeight="1" x14ac:dyDescent="0.25">
      <c r="A67" s="2" t="s">
        <v>1628</v>
      </c>
      <c r="B67" s="248" t="s">
        <v>18</v>
      </c>
      <c r="C67" s="248">
        <f>intelligence+academics+dominate-IF(academics&lt;1,3,0)</f>
        <v>-2</v>
      </c>
      <c r="D67" s="248" t="s">
        <v>36</v>
      </c>
      <c r="E67" s="248" t="s">
        <v>37</v>
      </c>
      <c r="F67" s="248" t="str">
        <f>IF(bloodline="Agonistes", "Local", "Unavailable")</f>
        <v>Unavailable</v>
      </c>
      <c r="G67" s="248" t="s">
        <v>99</v>
      </c>
      <c r="H67" s="248">
        <v>21</v>
      </c>
      <c r="I67" s="248" t="str">
        <f>IF(AND(auspex&gt;3,dominate&gt;2),"Yes","No")</f>
        <v>No</v>
      </c>
    </row>
    <row r="68" spans="1:9" ht="16.5" customHeight="1" x14ac:dyDescent="0.25">
      <c r="A68" s="2" t="s">
        <v>34</v>
      </c>
      <c r="B68" s="248" t="s">
        <v>11</v>
      </c>
      <c r="C68" s="248" t="s">
        <v>12</v>
      </c>
      <c r="D68" s="248" t="s">
        <v>21</v>
      </c>
      <c r="E68" s="248" t="s">
        <v>12</v>
      </c>
      <c r="F68" s="248" t="s">
        <v>14</v>
      </c>
      <c r="G68" s="248" t="s">
        <v>1618</v>
      </c>
      <c r="H68" s="248">
        <v>15</v>
      </c>
      <c r="I68" s="248" t="str">
        <f>IF(AND(protean&gt;3,resilience&gt;0),"Yes","No")</f>
        <v>No</v>
      </c>
    </row>
    <row r="69" spans="1:9" ht="16.5" customHeight="1" x14ac:dyDescent="0.25">
      <c r="A69" s="2" t="s">
        <v>68</v>
      </c>
      <c r="B69" s="248" t="s">
        <v>69</v>
      </c>
      <c r="C69" s="248">
        <f>presence+socialize+majesty-IF(socialize&lt;1,1,0)</f>
        <v>0</v>
      </c>
      <c r="D69" s="248" t="s">
        <v>21</v>
      </c>
      <c r="E69" s="248" t="s">
        <v>12</v>
      </c>
      <c r="F69" s="248" t="str">
        <f>IF(clan1="Daeva", "Local", "Unavailable")</f>
        <v>Unavailable</v>
      </c>
      <c r="G69" s="248" t="s">
        <v>67</v>
      </c>
      <c r="H69" s="248">
        <v>33</v>
      </c>
      <c r="I69" s="248" t="str">
        <f>IF(AND(obfuscate&gt;3,majesty&gt;0),"Yes","No")</f>
        <v>No</v>
      </c>
    </row>
    <row r="70" spans="1:9" ht="16.5" customHeight="1" x14ac:dyDescent="0.25">
      <c r="A70" s="2" t="s">
        <v>114</v>
      </c>
      <c r="B70" s="248" t="s">
        <v>11</v>
      </c>
      <c r="C70" s="248">
        <f>presence+socialize+obfuscate-IF(socialize&lt;1,1,0)</f>
        <v>0</v>
      </c>
      <c r="D70" s="248" t="s">
        <v>21</v>
      </c>
      <c r="E70" s="248" t="s">
        <v>12</v>
      </c>
      <c r="F70" s="248" t="str">
        <f>IF(bloodline="The Cockscomb Society", "Local", "Unavailable")</f>
        <v>Unavailable</v>
      </c>
      <c r="G70" s="248" t="s">
        <v>115</v>
      </c>
      <c r="H70" s="248">
        <v>15</v>
      </c>
      <c r="I70" s="248" t="str">
        <f>IF(AND(nightmare&gt;1,majesty&gt;0,obfuscate&gt;1),"Yes","No")</f>
        <v>No</v>
      </c>
    </row>
    <row r="71" spans="1:9" ht="16.5" customHeight="1" x14ac:dyDescent="0.25">
      <c r="A71" s="2" t="s">
        <v>35</v>
      </c>
      <c r="B71" s="248" t="s">
        <v>11</v>
      </c>
      <c r="C71" s="248">
        <f>intelligence+expression+dominate-IF(intimidation&lt;1,1,0)</f>
        <v>0</v>
      </c>
      <c r="D71" s="248" t="s">
        <v>36</v>
      </c>
      <c r="E71" s="248" t="s">
        <v>37</v>
      </c>
      <c r="F71" s="248" t="s">
        <v>14</v>
      </c>
      <c r="G71" s="248" t="s">
        <v>29</v>
      </c>
      <c r="H71" s="248">
        <v>18</v>
      </c>
      <c r="I71" s="248" t="str">
        <f>IF(AND(dominate&gt;3,majesty&gt;1),"Yes","No")</f>
        <v>No</v>
      </c>
    </row>
    <row r="72" spans="1:9" ht="16.5" customHeight="1" x14ac:dyDescent="0.25">
      <c r="A72" s="2" t="s">
        <v>38</v>
      </c>
      <c r="B72" s="248" t="s">
        <v>11</v>
      </c>
      <c r="C72" s="248">
        <f>intelligence+animalken+dominate-IF(animalken&lt;1,1,0)</f>
        <v>0</v>
      </c>
      <c r="D72" s="248" t="s">
        <v>36</v>
      </c>
      <c r="E72" s="248" t="s">
        <v>25</v>
      </c>
      <c r="F72" s="248" t="s">
        <v>14</v>
      </c>
      <c r="G72" s="248" t="s">
        <v>39</v>
      </c>
      <c r="H72" s="248">
        <v>7</v>
      </c>
      <c r="I72" s="248" t="str">
        <f>IF(AND(dominate&gt;1,animalism&gt;0),"Yes","No")</f>
        <v>No</v>
      </c>
    </row>
    <row r="73" spans="1:9" ht="16.5" customHeight="1" x14ac:dyDescent="0.25">
      <c r="A73" s="2" t="s">
        <v>92</v>
      </c>
      <c r="B73" s="248" t="s">
        <v>11</v>
      </c>
      <c r="C73" s="248" t="s">
        <v>12</v>
      </c>
      <c r="D73" s="248" t="s">
        <v>13</v>
      </c>
      <c r="E73" s="248" t="s">
        <v>12</v>
      </c>
      <c r="F73" s="248" t="str">
        <f>IF(clan1="Mekhet","Local","Unavailable")</f>
        <v>Unavailable</v>
      </c>
      <c r="G73" s="248" t="s">
        <v>1618</v>
      </c>
      <c r="H73" s="248">
        <v>5</v>
      </c>
      <c r="I73" s="248" t="str">
        <f>IF(AND(auspex&gt;0,celerity&gt;0),"Yes","No")</f>
        <v>No</v>
      </c>
    </row>
    <row r="74" spans="1:9" ht="16.5" customHeight="1" x14ac:dyDescent="0.25">
      <c r="A74" s="2" t="s">
        <v>72</v>
      </c>
      <c r="B74" s="248" t="s">
        <v>11</v>
      </c>
      <c r="C74" s="248">
        <f>stamina+survival+celerity-IF(survival=0,1,0)</f>
        <v>0</v>
      </c>
      <c r="D74" s="248" t="s">
        <v>21</v>
      </c>
      <c r="E74" s="248" t="s">
        <v>12</v>
      </c>
      <c r="F74" s="248" t="str">
        <f>IF(bloodline="Nelapsi", "Local", "Unavailable")</f>
        <v>Unavailable</v>
      </c>
      <c r="G74" s="248" t="s">
        <v>73</v>
      </c>
      <c r="H74" s="248">
        <v>13</v>
      </c>
      <c r="I74" s="248" t="str">
        <f>IF(AND(bloodline="Nelapsi",celerity&gt;1,vigor&gt;1),"Yes","No")</f>
        <v>No</v>
      </c>
    </row>
    <row r="75" spans="1:9" ht="16.5" customHeight="1" x14ac:dyDescent="0.25">
      <c r="A75" s="2" t="s">
        <v>2287</v>
      </c>
      <c r="B75" s="248" t="s">
        <v>18</v>
      </c>
      <c r="C75" s="248">
        <f>stamina+intimidation+resilience-IF(intimidation&lt;1,1,0)</f>
        <v>0</v>
      </c>
      <c r="D75" s="248" t="s">
        <v>13</v>
      </c>
      <c r="E75" s="248" t="s">
        <v>12</v>
      </c>
      <c r="F75" s="248" t="str">
        <f>IF(covenant1="Invictus","Local","Unavailable")</f>
        <v>Unavailable</v>
      </c>
      <c r="G75" s="248" t="s">
        <v>167</v>
      </c>
      <c r="H75" s="248">
        <v>9</v>
      </c>
      <c r="I75" s="248" t="str">
        <f>IF(AND(resilience&gt;1,majesty&gt;0),"Yes","No")</f>
        <v>No</v>
      </c>
    </row>
    <row r="76" spans="1:9" ht="16.5" customHeight="1" x14ac:dyDescent="0.25">
      <c r="A76" s="2" t="s">
        <v>1623</v>
      </c>
      <c r="B76" s="248" t="s">
        <v>317</v>
      </c>
      <c r="C76" s="248" t="s">
        <v>12</v>
      </c>
      <c r="D76" s="248" t="s">
        <v>21</v>
      </c>
      <c r="E76" s="248" t="s">
        <v>12</v>
      </c>
      <c r="F76" s="248" t="str">
        <f>IF(covenant1="Carthian Movement", "Local", "Unavailable")</f>
        <v>Unavailable</v>
      </c>
      <c r="G76" s="248" t="s">
        <v>2277</v>
      </c>
      <c r="H76" s="248">
        <v>24</v>
      </c>
      <c r="I76" s="248" t="str">
        <f>IF(AND(protean&gt;3,resilience&gt;3),"Yes","No")</f>
        <v>No</v>
      </c>
    </row>
    <row r="77" spans="1:9" ht="16.5" customHeight="1" x14ac:dyDescent="0.25">
      <c r="A77" s="2" t="s">
        <v>120</v>
      </c>
      <c r="B77" s="248" t="s">
        <v>11</v>
      </c>
      <c r="C77" s="248">
        <f>manipulation+subterfuge+nightmare-IF(subterfuge=0,1,0)</f>
        <v>0</v>
      </c>
      <c r="D77" s="248" t="s">
        <v>121</v>
      </c>
      <c r="E77" s="248" t="s">
        <v>41</v>
      </c>
      <c r="F77" s="248" t="str">
        <f>IF(bloodline="Order of Sir Martin", "Local", "Unavailable")</f>
        <v>Unavailable</v>
      </c>
      <c r="G77" s="248" t="s">
        <v>122</v>
      </c>
      <c r="H77" s="248">
        <v>18</v>
      </c>
      <c r="I77" s="248" t="str">
        <f>IF(AND(nightmare&gt;1,obfuscate&gt;3),"Yes","No")</f>
        <v>No</v>
      </c>
    </row>
    <row r="78" spans="1:9" ht="16.5" customHeight="1" x14ac:dyDescent="0.25">
      <c r="A78" s="2" t="s">
        <v>40</v>
      </c>
      <c r="B78" s="248" t="s">
        <v>11</v>
      </c>
      <c r="C78" s="248">
        <f>presence+intimidation+protean-IF(intimidation&lt;1,1,0)</f>
        <v>0</v>
      </c>
      <c r="D78" s="248" t="s">
        <v>36</v>
      </c>
      <c r="E78" s="248" t="s">
        <v>41</v>
      </c>
      <c r="F78" s="248" t="s">
        <v>14</v>
      </c>
      <c r="G78" s="248" t="s">
        <v>42</v>
      </c>
      <c r="H78" s="248">
        <v>18</v>
      </c>
      <c r="I78" s="248" t="str">
        <f>IF(AND(protean&gt;4,nightmare&gt;0),"Yes","No")</f>
        <v>No</v>
      </c>
    </row>
    <row r="79" spans="1:9" ht="16.5" customHeight="1" x14ac:dyDescent="0.25">
      <c r="A79" s="2" t="s">
        <v>1622</v>
      </c>
      <c r="B79" s="248" t="s">
        <v>140</v>
      </c>
      <c r="C79" s="248">
        <f>stamina+protean+resilience</f>
        <v>1</v>
      </c>
      <c r="D79" s="248" t="s">
        <v>21</v>
      </c>
      <c r="E79" s="248" t="s">
        <v>12</v>
      </c>
      <c r="F79" s="248" t="str">
        <f>IF(covenant1="Carthian Movement", "Local", "Unavailable")</f>
        <v>Unavailable</v>
      </c>
      <c r="G79" s="248" t="s">
        <v>2276</v>
      </c>
      <c r="H79" s="248">
        <v>20</v>
      </c>
      <c r="I79" s="248" t="str">
        <f>IF(AND(protean&gt;3,resilience&gt;1),"Yes","No")</f>
        <v>No</v>
      </c>
    </row>
    <row r="80" spans="1:9" ht="16.5" customHeight="1" x14ac:dyDescent="0.25">
      <c r="A80" s="2" t="s">
        <v>128</v>
      </c>
      <c r="B80" s="248" t="s">
        <v>51</v>
      </c>
      <c r="C80" s="248" t="s">
        <v>12</v>
      </c>
      <c r="D80" s="248" t="s">
        <v>13</v>
      </c>
      <c r="E80" s="248" t="s">
        <v>12</v>
      </c>
      <c r="F80" s="248" t="str">
        <f>IF(bloodline="Rötgrafen", "Local", "Unavailable")</f>
        <v>Unavailable</v>
      </c>
      <c r="G80" s="248" t="s">
        <v>129</v>
      </c>
      <c r="H80" s="248">
        <v>12</v>
      </c>
      <c r="I80" s="248" t="str">
        <f>IF(AND(bloodline="Rötgrafen",protean&gt;2,resilience&gt;0),"Yes","No")</f>
        <v>No</v>
      </c>
    </row>
    <row r="81" spans="1:9" ht="16.5" customHeight="1" x14ac:dyDescent="0.25">
      <c r="A81" s="2" t="s">
        <v>166</v>
      </c>
      <c r="B81" s="248" t="s">
        <v>55</v>
      </c>
      <c r="C81" s="248">
        <f>manipulation+expression+dominate-IF(expression=0,1,0)</f>
        <v>0</v>
      </c>
      <c r="D81" s="248" t="s">
        <v>121</v>
      </c>
      <c r="E81" s="248" t="s">
        <v>41</v>
      </c>
      <c r="F81" s="248" t="str">
        <f>IF(covenant1="Invictus", "Local", "Unavailable")</f>
        <v>Unavailable</v>
      </c>
      <c r="G81" s="248" t="s">
        <v>167</v>
      </c>
      <c r="H81" s="248">
        <v>15</v>
      </c>
      <c r="I81" s="248" t="str">
        <f>IF(AND(dominate&gt;2,nightmare&gt;1),"Yes","No")</f>
        <v>No</v>
      </c>
    </row>
    <row r="82" spans="1:9" ht="16.5" customHeight="1" x14ac:dyDescent="0.25">
      <c r="A82" s="2" t="s">
        <v>2313</v>
      </c>
      <c r="B82" s="248" t="s">
        <v>11</v>
      </c>
      <c r="C82" s="248">
        <f>intelligence+occult+auspex-IF(occult&lt;1,3,0)</f>
        <v>-2</v>
      </c>
      <c r="D82" s="248" t="s">
        <v>21</v>
      </c>
      <c r="E82" s="248" t="s">
        <v>12</v>
      </c>
      <c r="F82" s="248" t="str">
        <f>IF(covenant1="Ordo Dracul","Local","Unavailable")</f>
        <v>Unavailable</v>
      </c>
      <c r="G82" s="248" t="s">
        <v>174</v>
      </c>
      <c r="H82" s="248">
        <v>10</v>
      </c>
      <c r="I82" s="248" t="str">
        <f>IF(AND(auspex&gt;1,protean&gt;1),"Yes","No")</f>
        <v>No</v>
      </c>
    </row>
    <row r="83" spans="1:9" ht="16.5" customHeight="1" x14ac:dyDescent="0.25">
      <c r="A83" s="2" t="s">
        <v>43</v>
      </c>
      <c r="B83" s="248" t="s">
        <v>11</v>
      </c>
      <c r="C83" s="248">
        <f>manipulation+empathy+nightmare-IF(empathy&lt;1,1,0)</f>
        <v>0</v>
      </c>
      <c r="D83" s="248" t="s">
        <v>36</v>
      </c>
      <c r="E83" s="248" t="s">
        <v>41</v>
      </c>
      <c r="F83" s="248" t="s">
        <v>14</v>
      </c>
      <c r="G83" s="248" t="s">
        <v>44</v>
      </c>
      <c r="H83" s="248">
        <v>12</v>
      </c>
      <c r="I83" s="248" t="str">
        <f>IF(AND(nightmare&gt;1,protean&gt;1),"Yes","No")</f>
        <v>No</v>
      </c>
    </row>
    <row r="84" spans="1:9" ht="16.5" customHeight="1" x14ac:dyDescent="0.25">
      <c r="A84" s="2" t="s">
        <v>2288</v>
      </c>
      <c r="B84" s="248" t="s">
        <v>91</v>
      </c>
      <c r="C84" s="248">
        <f>strength+athletics+vigor-IF(athletics&lt;1,1,0)</f>
        <v>0</v>
      </c>
      <c r="D84" s="248" t="s">
        <v>36</v>
      </c>
      <c r="E84" s="248" t="s">
        <v>12</v>
      </c>
      <c r="F84" s="248" t="str">
        <f>IF(covenant1="Ordo Dracul","Local","Unavailable")</f>
        <v>Unavailable</v>
      </c>
      <c r="G84" s="248" t="s">
        <v>2332</v>
      </c>
      <c r="H84" s="248">
        <v>6</v>
      </c>
      <c r="I84" s="248" t="str">
        <f>IF(AND(spoiling&gt;0,vigor&gt;0),"Yes","No")</f>
        <v>No</v>
      </c>
    </row>
    <row r="85" spans="1:9" ht="16.5" customHeight="1" x14ac:dyDescent="0.25">
      <c r="A85" s="2" t="s">
        <v>2289</v>
      </c>
      <c r="B85" s="248" t="s">
        <v>91</v>
      </c>
      <c r="C85" s="248">
        <f>strength+athletics+vigor-IF(athletics&lt;1,1,0)</f>
        <v>0</v>
      </c>
      <c r="D85" s="248" t="s">
        <v>36</v>
      </c>
      <c r="E85" s="248" t="s">
        <v>12</v>
      </c>
      <c r="F85" s="248" t="str">
        <f>IF(covenant1="Ordo Dracul","Local","Unavailable")</f>
        <v>Unavailable</v>
      </c>
      <c r="G85" s="248" t="s">
        <v>2332</v>
      </c>
      <c r="H85" s="248">
        <v>12</v>
      </c>
      <c r="I85" s="248" t="str">
        <f>IF(AND(spoiling&gt;1,vigor&gt;1),"Yes","No")</f>
        <v>No</v>
      </c>
    </row>
    <row r="86" spans="1:9" ht="16.5" customHeight="1" x14ac:dyDescent="0.25">
      <c r="A86" s="2" t="s">
        <v>2290</v>
      </c>
      <c r="B86" s="248" t="s">
        <v>91</v>
      </c>
      <c r="C86" s="248">
        <f>strength+athletics+vigor-IF(athletics&lt;1,1,0)</f>
        <v>0</v>
      </c>
      <c r="D86" s="248" t="s">
        <v>36</v>
      </c>
      <c r="E86" s="248" t="s">
        <v>12</v>
      </c>
      <c r="F86" s="248" t="str">
        <f>IF(covenant1="Ordo Dracul","Local","Unavailable")</f>
        <v>Unavailable</v>
      </c>
      <c r="G86" s="248" t="s">
        <v>2332</v>
      </c>
      <c r="H86" s="248">
        <v>18</v>
      </c>
      <c r="I86" s="248" t="str">
        <f>IF(AND(spoiling&gt;2,vigor&gt;2),"Yes","No")</f>
        <v>No</v>
      </c>
    </row>
    <row r="87" spans="1:9" ht="16.5" customHeight="1" x14ac:dyDescent="0.25">
      <c r="A87" s="2" t="s">
        <v>45</v>
      </c>
      <c r="B87" s="248" t="s">
        <v>11</v>
      </c>
      <c r="C87" s="248">
        <f>wits+survival+auspex-IF(survival&lt;1,1,0)</f>
        <v>0</v>
      </c>
      <c r="D87" s="248" t="s">
        <v>46</v>
      </c>
      <c r="E87" s="248" t="s">
        <v>12</v>
      </c>
      <c r="F87" s="248" t="s">
        <v>14</v>
      </c>
      <c r="G87" s="248" t="s">
        <v>44</v>
      </c>
      <c r="H87" s="248">
        <v>20</v>
      </c>
      <c r="I87" s="248" t="str">
        <f>IF(AND(animalism&gt;2,auspex&gt;2),"Yes","No")</f>
        <v>No</v>
      </c>
    </row>
    <row r="88" spans="1:9" ht="16.5" customHeight="1" x14ac:dyDescent="0.25">
      <c r="A88" s="2" t="s">
        <v>47</v>
      </c>
      <c r="B88" s="248" t="s">
        <v>11</v>
      </c>
      <c r="C88" s="248">
        <f>strength+athletics+celerity-IF(athletics&lt;1,1,0)</f>
        <v>0</v>
      </c>
      <c r="D88" s="248" t="s">
        <v>36</v>
      </c>
      <c r="E88" s="248" t="s">
        <v>48</v>
      </c>
      <c r="F88" s="248" t="s">
        <v>14</v>
      </c>
      <c r="G88" s="248" t="s">
        <v>49</v>
      </c>
      <c r="H88" s="248">
        <v>18</v>
      </c>
      <c r="I88" s="248" t="str">
        <f>IF(AND(celerity&gt;2,nightmare&gt;2),"Yes","No")</f>
        <v>No</v>
      </c>
    </row>
    <row r="89" spans="1:9" ht="16.5" customHeight="1" x14ac:dyDescent="0.25">
      <c r="A89" s="2" t="s">
        <v>1627</v>
      </c>
      <c r="B89" s="248" t="s">
        <v>11</v>
      </c>
      <c r="C89" s="248">
        <f>wits+investigation+auspex-IF(investigation&lt;1,3,0)</f>
        <v>-2</v>
      </c>
      <c r="D89" s="248" t="s">
        <v>21</v>
      </c>
      <c r="E89" s="248" t="s">
        <v>58</v>
      </c>
      <c r="F89" s="248" t="str">
        <f>IF(covenant1="Carthian Movement", "Local", "Unavailable")</f>
        <v>Unavailable</v>
      </c>
      <c r="G89" s="248" t="s">
        <v>2272</v>
      </c>
      <c r="H89" s="248">
        <v>12</v>
      </c>
      <c r="I89" s="248" t="str">
        <f>IF(AND(auspex&gt;1,protean&gt;3),"Yes","No")</f>
        <v>No</v>
      </c>
    </row>
    <row r="90" spans="1:9" ht="16.5" customHeight="1" x14ac:dyDescent="0.25">
      <c r="A90" s="2" t="s">
        <v>74</v>
      </c>
      <c r="B90" s="248" t="s">
        <v>18</v>
      </c>
      <c r="C90" s="248">
        <f>wits+survival+vigor-IF(survival=0,1,0)</f>
        <v>0</v>
      </c>
      <c r="D90" s="248" t="s">
        <v>13</v>
      </c>
      <c r="E90" s="248" t="s">
        <v>12</v>
      </c>
      <c r="F90" s="248" t="str">
        <f>IF(bloodline="Nelapsi", "Local", "Unavailable")</f>
        <v>Unavailable</v>
      </c>
      <c r="G90" s="248" t="s">
        <v>73</v>
      </c>
      <c r="H90" s="248">
        <v>14</v>
      </c>
      <c r="I90" s="248" t="str">
        <f>IF(AND(bloodline="Nelapsi",nightmare&gt;1,vigor&gt;2),"Yes","No")</f>
        <v>No</v>
      </c>
    </row>
    <row r="91" spans="1:9" ht="16.5" customHeight="1" x14ac:dyDescent="0.25">
      <c r="A91" s="2" t="s">
        <v>109</v>
      </c>
      <c r="B91" s="248" t="s">
        <v>51</v>
      </c>
      <c r="C91" s="248">
        <f>manipulation+intimidation+nightmare-IF(intimidation=0,1,0)</f>
        <v>0</v>
      </c>
      <c r="D91" s="248" t="s">
        <v>121</v>
      </c>
      <c r="E91" s="248" t="s">
        <v>41</v>
      </c>
      <c r="F91" s="248" t="str">
        <f>IF(bloodline="Caporetti", "Local", "Unavailable")</f>
        <v>Unavailable</v>
      </c>
      <c r="G91" s="248" t="s">
        <v>110</v>
      </c>
      <c r="H91" s="248">
        <v>9</v>
      </c>
      <c r="I91" s="248" t="str">
        <f>IF(AND(celerity&gt;0,nightmare&gt;1),"Yes","No")</f>
        <v>No</v>
      </c>
    </row>
    <row r="92" spans="1:9" ht="16.5" customHeight="1" x14ac:dyDescent="0.25">
      <c r="A92" s="2" t="s">
        <v>162</v>
      </c>
      <c r="B92" s="248" t="s">
        <v>55</v>
      </c>
      <c r="C92" s="248" t="s">
        <v>12</v>
      </c>
      <c r="D92" s="248" t="s">
        <v>13</v>
      </c>
      <c r="E92" s="248" t="s">
        <v>12</v>
      </c>
      <c r="F92" s="248" t="str">
        <f>IF(covenant1="Carthian Movement", "Local", "Unavailable")</f>
        <v>Unavailable</v>
      </c>
      <c r="G92" s="248" t="s">
        <v>2272</v>
      </c>
      <c r="H92" s="248">
        <v>10</v>
      </c>
      <c r="I92" s="248" t="str">
        <f>IF(AND(dominate&gt;1,celerity&gt;0),"Yes","No")</f>
        <v>No</v>
      </c>
    </row>
    <row r="93" spans="1:9" ht="16.5" customHeight="1" x14ac:dyDescent="0.25">
      <c r="A93" s="2" t="s">
        <v>97</v>
      </c>
      <c r="B93" s="248" t="s">
        <v>11</v>
      </c>
      <c r="C93" s="248">
        <f>manipulation+medicine+dominate-IF(medicine=0,3,0)</f>
        <v>-2</v>
      </c>
      <c r="D93" s="248" t="s">
        <v>21</v>
      </c>
      <c r="E93" s="248" t="s">
        <v>12</v>
      </c>
      <c r="F93" s="248" t="str">
        <f>IF(bloodline="Agonistes", "Local", "Unavailable")</f>
        <v>Unavailable</v>
      </c>
      <c r="G93" s="248" t="s">
        <v>94</v>
      </c>
      <c r="H93" s="248">
        <v>24</v>
      </c>
      <c r="I93" s="248" t="str">
        <f>IF(AND(auspex&gt;2,dominate&gt;3,celerity&gt;0),"Yes","No")</f>
        <v>No</v>
      </c>
    </row>
    <row r="94" spans="1:9" ht="16.5" customHeight="1" x14ac:dyDescent="0.25">
      <c r="A94" s="2" t="s">
        <v>2304</v>
      </c>
      <c r="B94" s="248" t="s">
        <v>51</v>
      </c>
      <c r="C94" s="248">
        <f>wits+empathy+auspex-IF(empathy&lt;1,1,0)</f>
        <v>0</v>
      </c>
      <c r="D94" s="248" t="s">
        <v>12</v>
      </c>
      <c r="E94" s="248" t="s">
        <v>12</v>
      </c>
      <c r="F94" s="248" t="s">
        <v>32</v>
      </c>
      <c r="G94" s="248" t="s">
        <v>2299</v>
      </c>
      <c r="H94" s="248">
        <v>15</v>
      </c>
      <c r="I94" s="248" t="str">
        <f>IF(AND(auspex&gt;3,covenant1="Belials Brood"),"Yes","No")</f>
        <v>No</v>
      </c>
    </row>
    <row r="95" spans="1:9" ht="16.5" customHeight="1" x14ac:dyDescent="0.25">
      <c r="A95" s="2" t="s">
        <v>2291</v>
      </c>
      <c r="B95" s="248" t="s">
        <v>18</v>
      </c>
      <c r="C95" s="248">
        <f>manipulation+expression+majesty-IF(expression&lt;1,1,0)</f>
        <v>0</v>
      </c>
      <c r="D95" s="248" t="s">
        <v>131</v>
      </c>
      <c r="E95" s="248" t="s">
        <v>41</v>
      </c>
      <c r="F95" s="248" t="str">
        <f>IF(bloodline="Baddacelli","Local","Unavailable")</f>
        <v>Unavailable</v>
      </c>
      <c r="G95" s="248" t="s">
        <v>2292</v>
      </c>
      <c r="H95" s="248">
        <v>15</v>
      </c>
      <c r="I95" s="248" t="str">
        <f>IF(AND(majesty&gt;2,BloodDis&gt;1),"Yes","No")</f>
        <v>No</v>
      </c>
    </row>
    <row r="96" spans="1:9" ht="16.5" customHeight="1" x14ac:dyDescent="0.25">
      <c r="A96" s="2" t="s">
        <v>150</v>
      </c>
      <c r="B96" s="248" t="s">
        <v>140</v>
      </c>
      <c r="C96" s="248">
        <f>resolve+composure+resilience</f>
        <v>2</v>
      </c>
      <c r="D96" s="248" t="s">
        <v>13</v>
      </c>
      <c r="E96" s="248" t="s">
        <v>12</v>
      </c>
      <c r="F96" s="248" t="str">
        <f>IF(covenant1="Carthian Movement", "Local", "Unavailable")</f>
        <v>Unavailable</v>
      </c>
      <c r="G96" s="248" t="s">
        <v>2274</v>
      </c>
      <c r="H96" s="248">
        <v>8</v>
      </c>
      <c r="I96" s="248" t="str">
        <f>IF(AND(majesty&gt;0,resilience&gt;0),"Yes","No")</f>
        <v>No</v>
      </c>
    </row>
    <row r="97" spans="1:9" ht="16.5" customHeight="1" x14ac:dyDescent="0.25">
      <c r="A97" s="2" t="s">
        <v>62</v>
      </c>
      <c r="B97" s="248" t="s">
        <v>11</v>
      </c>
      <c r="C97" s="248" t="s">
        <v>12</v>
      </c>
      <c r="D97" s="248" t="s">
        <v>21</v>
      </c>
      <c r="E97" s="248" t="s">
        <v>12</v>
      </c>
      <c r="F97" s="248" t="s">
        <v>14</v>
      </c>
      <c r="G97" s="248" t="s">
        <v>1630</v>
      </c>
      <c r="H97" s="248">
        <v>15</v>
      </c>
      <c r="I97" s="248" t="str">
        <f>IF(AND(dominate&gt;3,resilience&gt;0),"Yes","No")</f>
        <v>No</v>
      </c>
    </row>
    <row r="98" spans="1:9" ht="16.5" customHeight="1" x14ac:dyDescent="0.25">
      <c r="A98" s="2" t="s">
        <v>107</v>
      </c>
      <c r="B98" s="248" t="s">
        <v>11</v>
      </c>
      <c r="C98" s="248" t="s">
        <v>12</v>
      </c>
      <c r="D98" s="248" t="s">
        <v>85</v>
      </c>
      <c r="E98" s="248" t="s">
        <v>12</v>
      </c>
      <c r="F98" s="248" t="str">
        <f>IF(bloodline="Caporetti", "Local", "Unavailable")</f>
        <v>Unavailable</v>
      </c>
      <c r="G98" s="248" t="s">
        <v>108</v>
      </c>
      <c r="H98" s="248">
        <v>6</v>
      </c>
      <c r="I98" s="248" t="str">
        <f>IF(AND(celerity&gt;0,vigor&gt;0),"Yes","No")</f>
        <v>No</v>
      </c>
    </row>
    <row r="99" spans="1:9" ht="16.5" customHeight="1" x14ac:dyDescent="0.25">
      <c r="A99" s="2" t="s">
        <v>175</v>
      </c>
      <c r="B99" s="248" t="s">
        <v>11</v>
      </c>
      <c r="C99" s="248">
        <f>composure+athletics+vigor-IF(athletics=0,1,0)</f>
        <v>0</v>
      </c>
      <c r="D99" s="248" t="s">
        <v>13</v>
      </c>
      <c r="E99" s="248" t="s">
        <v>12</v>
      </c>
      <c r="F99" s="248" t="s">
        <v>14</v>
      </c>
      <c r="G99" s="248" t="s">
        <v>176</v>
      </c>
      <c r="H99" s="248">
        <v>18</v>
      </c>
      <c r="I99" s="248" t="str">
        <f>IF(AND(resilience&gt;2,vigor&gt;2,covenant1="Ordo Dracul"),"Yes","No")</f>
        <v>No</v>
      </c>
    </row>
    <row r="100" spans="1:9" ht="16.5" customHeight="1" x14ac:dyDescent="0.25">
      <c r="A100" s="2" t="s">
        <v>151</v>
      </c>
      <c r="B100" s="248" t="s">
        <v>152</v>
      </c>
      <c r="C100" s="248" t="s">
        <v>12</v>
      </c>
      <c r="D100" s="248" t="s">
        <v>13</v>
      </c>
      <c r="E100" s="248" t="s">
        <v>12</v>
      </c>
      <c r="F100" s="248" t="str">
        <f>IF(covenant1="Carthian Movement", "Local", "Unavailable")</f>
        <v>Unavailable</v>
      </c>
      <c r="G100" s="248" t="s">
        <v>2280</v>
      </c>
      <c r="H100" s="248">
        <v>6</v>
      </c>
      <c r="I100" s="248" t="str">
        <f>IF(AND(celerity&gt;0,vigor&gt;0),"Yes","No")</f>
        <v>No</v>
      </c>
    </row>
    <row r="101" spans="1:9" ht="16.5" customHeight="1" x14ac:dyDescent="0.25">
      <c r="A101" s="2" t="s">
        <v>65</v>
      </c>
      <c r="B101" s="248" t="s">
        <v>143</v>
      </c>
      <c r="C101" s="248">
        <f>presence+intimidation+animalism-IF(intimidation=0,1,0)</f>
        <v>0</v>
      </c>
      <c r="D101" s="248" t="s">
        <v>46</v>
      </c>
      <c r="E101" s="248" t="s">
        <v>12</v>
      </c>
      <c r="F101" s="248" t="s">
        <v>32</v>
      </c>
      <c r="G101" s="248" t="s">
        <v>1815</v>
      </c>
      <c r="H101" s="248">
        <v>15</v>
      </c>
      <c r="I101" s="248" t="str">
        <f>IF(AND(animalism&gt;3,majesty&gt;0),"Yes","No")</f>
        <v>No</v>
      </c>
    </row>
    <row r="102" spans="1:9" ht="16.5" customHeight="1" x14ac:dyDescent="0.25">
      <c r="A102" s="2" t="s">
        <v>98</v>
      </c>
      <c r="B102" s="248" t="s">
        <v>11</v>
      </c>
      <c r="C102" s="248">
        <f>intelligence+intimidation+dominate-IF(intimidation=0,1,0)</f>
        <v>0</v>
      </c>
      <c r="D102" s="248" t="s">
        <v>36</v>
      </c>
      <c r="E102" s="248" t="s">
        <v>37</v>
      </c>
      <c r="F102" s="248" t="str">
        <f>IF(bloodline="Agonistes", "Local", "Unavailable")</f>
        <v>Unavailable</v>
      </c>
      <c r="G102" s="248" t="s">
        <v>99</v>
      </c>
      <c r="H102" s="248">
        <v>18</v>
      </c>
      <c r="I102" s="248" t="str">
        <f>IF(AND(dominate&gt;1,auspex&gt;3),"Yes","No")</f>
        <v>No</v>
      </c>
    </row>
    <row r="103" spans="1:9" ht="16.5" customHeight="1" x14ac:dyDescent="0.25">
      <c r="A103" s="2" t="s">
        <v>104</v>
      </c>
      <c r="B103" s="248" t="s">
        <v>11</v>
      </c>
      <c r="C103" s="248">
        <f>presence+brawl+vigor-IF(brawl&lt;1,1,0)</f>
        <v>0</v>
      </c>
      <c r="D103" s="248" t="s">
        <v>13</v>
      </c>
      <c r="E103" s="248" t="s">
        <v>12</v>
      </c>
      <c r="F103" s="248" t="str">
        <f>IF(clan1="Nosferatu", "Local", "Unavailable")</f>
        <v>Unavailable</v>
      </c>
      <c r="G103" s="248" t="s">
        <v>105</v>
      </c>
      <c r="H103" s="248">
        <v>9</v>
      </c>
      <c r="I103" s="248" t="str">
        <f>IF(AND(nightmare&gt;0,vigor&gt;1),"Yes","No")</f>
        <v>No</v>
      </c>
    </row>
    <row r="104" spans="1:9" ht="16.5" customHeight="1" x14ac:dyDescent="0.25">
      <c r="A104" s="2" t="s">
        <v>130</v>
      </c>
      <c r="B104" s="248" t="s">
        <v>18</v>
      </c>
      <c r="C104" s="248">
        <f>intelligence+survival+dominate-IF(survival=0,1,0)</f>
        <v>0</v>
      </c>
      <c r="D104" s="248" t="s">
        <v>131</v>
      </c>
      <c r="E104" s="248" t="s">
        <v>1629</v>
      </c>
      <c r="F104" s="248" t="str">
        <f>IF(bloodline="Rötgrafen", "Local", "Unavailable")</f>
        <v>Unavailable</v>
      </c>
      <c r="G104" s="248" t="s">
        <v>132</v>
      </c>
      <c r="H104" s="248">
        <v>21</v>
      </c>
      <c r="I104" s="248" t="str">
        <f>IF(AND(bloodline="Rötgrafen",protean&gt;1,dominate&gt;4),"Yes","No")</f>
        <v>No</v>
      </c>
    </row>
    <row r="105" spans="1:9" ht="16.5" customHeight="1" x14ac:dyDescent="0.25">
      <c r="A105" s="2" t="s">
        <v>168</v>
      </c>
      <c r="B105" s="248" t="s">
        <v>18</v>
      </c>
      <c r="C105" s="248">
        <f>presence+weaponry+MAX(dominate,majesty)-IF(weaponry=0,1,0)</f>
        <v>0</v>
      </c>
      <c r="D105" s="248" t="s">
        <v>21</v>
      </c>
      <c r="E105" s="248" t="s">
        <v>12</v>
      </c>
      <c r="F105" s="248" t="str">
        <f>IF(covenant1="Invictus", "Local", "Unavailable")</f>
        <v>Unavailable</v>
      </c>
      <c r="G105" s="248" t="s">
        <v>167</v>
      </c>
      <c r="H105" s="248">
        <v>12</v>
      </c>
      <c r="I105" s="248" t="str">
        <f>IF(AND(OR(dominate&gt;1,majesty&gt;1),OR(resilience&gt;1,vigor&gt;1)),"Yes","No")</f>
        <v>No</v>
      </c>
    </row>
    <row r="106" spans="1:9" ht="16.5" customHeight="1" x14ac:dyDescent="0.25">
      <c r="A106" s="2" t="s">
        <v>2311</v>
      </c>
      <c r="B106" s="248" t="s">
        <v>11</v>
      </c>
      <c r="C106" s="248">
        <f>presence+subterfuge+obfuscate-IF(subterfuge&lt;1,1,0)</f>
        <v>0</v>
      </c>
      <c r="D106" s="248" t="s">
        <v>36</v>
      </c>
      <c r="E106" s="248" t="s">
        <v>41</v>
      </c>
      <c r="F106" s="248" t="str">
        <f>IF(clan1="Nosferatu","Local","Unavailable")</f>
        <v>Unavailable</v>
      </c>
      <c r="G106" s="248" t="s">
        <v>105</v>
      </c>
      <c r="H106" s="248">
        <v>21</v>
      </c>
      <c r="I106" s="248" t="str">
        <f>IF(AND(nightmare&gt;2,obfuscate&gt;3),"Yes","No")</f>
        <v>No</v>
      </c>
    </row>
    <row r="107" spans="1:9" ht="16.5" customHeight="1" x14ac:dyDescent="0.25">
      <c r="A107" s="2" t="s">
        <v>50</v>
      </c>
      <c r="B107" s="248" t="s">
        <v>51</v>
      </c>
      <c r="C107" s="248">
        <f>presence+expression+dominate-IF(expression&lt;1,1,0)</f>
        <v>0</v>
      </c>
      <c r="D107" s="248" t="s">
        <v>21</v>
      </c>
      <c r="E107" s="248" t="s">
        <v>12</v>
      </c>
      <c r="F107" s="248" t="s">
        <v>14</v>
      </c>
      <c r="G107" s="248" t="s">
        <v>126</v>
      </c>
      <c r="H107" s="248">
        <v>10</v>
      </c>
      <c r="I107" s="248" t="str">
        <f>IF(AND(dominate&gt;1,auspex&gt;1),"Yes","No")</f>
        <v>No</v>
      </c>
    </row>
    <row r="108" spans="1:9" ht="16.5" customHeight="1" x14ac:dyDescent="0.25">
      <c r="A108" s="2" t="s">
        <v>2305</v>
      </c>
      <c r="B108" s="248" t="s">
        <v>51</v>
      </c>
      <c r="C108" s="248" t="s">
        <v>12</v>
      </c>
      <c r="D108" s="248" t="s">
        <v>12</v>
      </c>
      <c r="E108" s="248" t="s">
        <v>12</v>
      </c>
      <c r="F108" s="248" t="s">
        <v>32</v>
      </c>
      <c r="G108" s="248" t="s">
        <v>2302</v>
      </c>
      <c r="H108" s="248">
        <v>30</v>
      </c>
      <c r="I108" s="248" t="str">
        <f ca="1">IF(AND(auspex&gt;4,majesty&gt;4,obfuscate&gt;2,'Character Sheet'!AW134&gt;0),"Yes","No")</f>
        <v>No</v>
      </c>
    </row>
    <row r="109" spans="1:9" ht="16.5" customHeight="1" x14ac:dyDescent="0.25">
      <c r="A109" s="2" t="s">
        <v>123</v>
      </c>
      <c r="B109" s="248" t="s">
        <v>57</v>
      </c>
      <c r="C109" s="248">
        <f>resolve+medicine+vigor-IF(medicine=0,3,0)</f>
        <v>-2</v>
      </c>
      <c r="D109" s="248" t="s">
        <v>21</v>
      </c>
      <c r="E109" s="248" t="s">
        <v>12</v>
      </c>
      <c r="F109" s="248" t="str">
        <f>IF(bloodline="Order of Sir Martin", "Local", "Unavailable")</f>
        <v>Unavailable</v>
      </c>
      <c r="G109" s="248" t="s">
        <v>122</v>
      </c>
      <c r="H109" s="248">
        <v>9</v>
      </c>
      <c r="I109" s="248" t="str">
        <f>IF(AND(resilience&gt;0,vigor&gt;1),"Yes","No")</f>
        <v>No</v>
      </c>
    </row>
    <row r="110" spans="1:9" ht="16.5" customHeight="1" x14ac:dyDescent="0.25">
      <c r="A110" s="2" t="s">
        <v>2306</v>
      </c>
      <c r="B110" s="248" t="s">
        <v>51</v>
      </c>
      <c r="C110" s="248">
        <f>wits+occult+BloodDis-IF(occult&lt;1,3,0)</f>
        <v>-2</v>
      </c>
      <c r="D110" s="248" t="s">
        <v>21</v>
      </c>
      <c r="E110" s="248" t="s">
        <v>12</v>
      </c>
      <c r="F110" s="248" t="str">
        <f>IF(bloodline="mnemosyne","Genre","Unavailable")</f>
        <v>Unavailable</v>
      </c>
      <c r="G110" s="248" t="s">
        <v>2302</v>
      </c>
      <c r="H110" s="248">
        <v>21</v>
      </c>
      <c r="I110" s="248" t="str">
        <f>IF(AND(auspex&gt;2,BloodDis&gt;3),"Yes","No")</f>
        <v>No</v>
      </c>
    </row>
    <row r="111" spans="1:9" ht="16.5" customHeight="1" x14ac:dyDescent="0.25">
      <c r="A111" s="2" t="s">
        <v>2307</v>
      </c>
      <c r="B111" s="248" t="s">
        <v>11</v>
      </c>
      <c r="C111" s="248">
        <f>presence+occult+BloodDis-IF(occult&lt;1,3,0)</f>
        <v>-2</v>
      </c>
      <c r="D111" s="248" t="s">
        <v>46</v>
      </c>
      <c r="E111" s="248" t="s">
        <v>405</v>
      </c>
      <c r="F111" s="248" t="s">
        <v>32</v>
      </c>
      <c r="G111" s="248" t="s">
        <v>2309</v>
      </c>
      <c r="H111" s="248">
        <v>12</v>
      </c>
      <c r="I111" s="248" t="str">
        <f>IF(AND(auspex&gt;2,obfuscate&gt;0),"Yes","No")</f>
        <v>No</v>
      </c>
    </row>
    <row r="112" spans="1:9" ht="16.5" customHeight="1" x14ac:dyDescent="0.25">
      <c r="A112" s="2" t="s">
        <v>116</v>
      </c>
      <c r="B112" s="248" t="s">
        <v>11</v>
      </c>
      <c r="C112" s="248">
        <f>manipulation+empathy+BloodDis-IF(empathy=0,1,0)</f>
        <v>0</v>
      </c>
      <c r="D112" s="248" t="s">
        <v>36</v>
      </c>
      <c r="E112" s="248" t="s">
        <v>41</v>
      </c>
      <c r="F112" s="248" t="str">
        <f>IF(bloodline="Noctuku", "Local", "Unavailable")</f>
        <v>Unavailable</v>
      </c>
      <c r="G112" s="248" t="s">
        <v>117</v>
      </c>
      <c r="H112" s="248">
        <v>21</v>
      </c>
      <c r="I112" s="248" t="str">
        <f>IF(AND(bloodline="Noctuku",nightmare&gt;1,BloodDis&gt;3),"Yes","No")</f>
        <v>No</v>
      </c>
    </row>
    <row r="113" spans="1:9" ht="16.5" customHeight="1" x14ac:dyDescent="0.25">
      <c r="A113" s="2" t="s">
        <v>2308</v>
      </c>
      <c r="B113" s="248" t="s">
        <v>18</v>
      </c>
      <c r="C113" s="248">
        <f>intelligence+expression+auspex-IF(expression&lt;1,1,0)</f>
        <v>0</v>
      </c>
      <c r="D113" s="248" t="s">
        <v>21</v>
      </c>
      <c r="E113" s="248" t="s">
        <v>12</v>
      </c>
      <c r="F113" s="248" t="s">
        <v>32</v>
      </c>
      <c r="G113" s="248" t="s">
        <v>2309</v>
      </c>
      <c r="H113" s="248">
        <v>15</v>
      </c>
      <c r="I113" s="248" t="str">
        <f ca="1">IF(AND(auspex&gt;3,celerity&gt;0,majesty&gt;0,'Character Sheet'!AW134&gt;0),"Yes","No")</f>
        <v>No</v>
      </c>
    </row>
    <row r="114" spans="1:9" ht="16.5" customHeight="1" x14ac:dyDescent="0.25">
      <c r="A114" s="2" t="s">
        <v>1626</v>
      </c>
      <c r="B114" s="248" t="s">
        <v>11</v>
      </c>
      <c r="C114" s="248" t="s">
        <v>12</v>
      </c>
      <c r="D114" s="248" t="s">
        <v>21</v>
      </c>
      <c r="E114" s="248" t="s">
        <v>12</v>
      </c>
      <c r="F114" s="248" t="str">
        <f>IF(covenant1="Carthian Movement", "Local", "Unavailable")</f>
        <v>Unavailable</v>
      </c>
      <c r="G114" s="248" t="s">
        <v>2281</v>
      </c>
      <c r="H114" s="248">
        <v>30</v>
      </c>
      <c r="I114" s="248" t="str">
        <f>IF(AND(auspex&gt;4,protean&gt;1),"Yes","No")</f>
        <v>No</v>
      </c>
    </row>
    <row r="115" spans="1:9" ht="16.5" customHeight="1" x14ac:dyDescent="0.25">
      <c r="A115" s="2" t="s">
        <v>1625</v>
      </c>
      <c r="B115" s="248" t="s">
        <v>11</v>
      </c>
      <c r="C115" s="248" t="s">
        <v>12</v>
      </c>
      <c r="D115" s="248" t="s">
        <v>21</v>
      </c>
      <c r="E115" s="248" t="s">
        <v>12</v>
      </c>
      <c r="F115" s="248" t="str">
        <f>IF(covenant1="Carthian Movement", "Local", "Unavailable")</f>
        <v>Unavailable</v>
      </c>
      <c r="G115" s="248" t="s">
        <v>2281</v>
      </c>
      <c r="H115" s="248">
        <v>9</v>
      </c>
      <c r="I115" s="248" t="str">
        <f>IF(AND(auspex&gt;0,protean&gt;1),"Yes","No")</f>
        <v>No</v>
      </c>
    </row>
    <row r="116" spans="1:9" ht="16.5" customHeight="1" x14ac:dyDescent="0.25">
      <c r="A116" s="2" t="s">
        <v>53</v>
      </c>
      <c r="B116" s="248" t="s">
        <v>11</v>
      </c>
      <c r="C116" s="248">
        <f>intelligence+medicine+auspex-IF(medicine&lt;1,3,0)</f>
        <v>-2</v>
      </c>
      <c r="D116" s="248" t="s">
        <v>1620</v>
      </c>
      <c r="E116" s="248" t="s">
        <v>37</v>
      </c>
      <c r="F116" s="248" t="s">
        <v>14</v>
      </c>
      <c r="G116" s="248" t="s">
        <v>1619</v>
      </c>
      <c r="H116" s="248">
        <v>21</v>
      </c>
      <c r="I116" s="248" t="str">
        <f>IF(AND(auspex&gt;3,dominate&gt;1),"Yes","No")</f>
        <v>No</v>
      </c>
    </row>
    <row r="117" spans="1:9" ht="16.5" customHeight="1" x14ac:dyDescent="0.25">
      <c r="A117" s="2" t="s">
        <v>54</v>
      </c>
      <c r="B117" s="248" t="s">
        <v>55</v>
      </c>
      <c r="C117" s="248">
        <f>dexterity+survival+protean-IF(survival&lt;1,1,0)</f>
        <v>0</v>
      </c>
      <c r="D117" s="248" t="s">
        <v>21</v>
      </c>
      <c r="E117" s="248" t="s">
        <v>12</v>
      </c>
      <c r="F117" s="248" t="s">
        <v>14</v>
      </c>
      <c r="G117" s="248" t="s">
        <v>42</v>
      </c>
      <c r="H117" s="248">
        <v>12</v>
      </c>
      <c r="I117" s="248" t="str">
        <f>IF(AND(protean&gt;1,celerity&gt;1),"Yes","No")</f>
        <v>No</v>
      </c>
    </row>
    <row r="118" spans="1:9" ht="16.5" customHeight="1" x14ac:dyDescent="0.25">
      <c r="A118" s="2" t="s">
        <v>80</v>
      </c>
      <c r="B118" s="248" t="s">
        <v>11</v>
      </c>
      <c r="C118" s="248">
        <f>dexterity+athletics+protean-IF(athletics&lt;1,1,0)</f>
        <v>0</v>
      </c>
      <c r="D118" s="248" t="s">
        <v>21</v>
      </c>
      <c r="E118" s="248" t="s">
        <v>12</v>
      </c>
      <c r="F118" s="248" t="str">
        <f>IF(clan1="Gangrel","Local","Unavailable")</f>
        <v>Unavailable</v>
      </c>
      <c r="G118" s="248" t="s">
        <v>81</v>
      </c>
      <c r="H118" s="248">
        <v>15</v>
      </c>
      <c r="I118" s="248" t="str">
        <f>IF(AND(protean&gt;3,resilience&gt;0),"Yes","No")</f>
        <v>No</v>
      </c>
    </row>
    <row r="119" spans="1:9" ht="16.5" customHeight="1" x14ac:dyDescent="0.25">
      <c r="A119" s="2" t="s">
        <v>133</v>
      </c>
      <c r="B119" s="248" t="s">
        <v>18</v>
      </c>
      <c r="C119" s="248">
        <f>intelligence+empathy+animalism-IF(empathy=0,1,0)</f>
        <v>0</v>
      </c>
      <c r="D119" s="248" t="s">
        <v>21</v>
      </c>
      <c r="E119" s="248" t="s">
        <v>12</v>
      </c>
      <c r="F119" s="248" t="str">
        <f>IF(bloodline="Rötgrafen", "Local", "Unavailable")</f>
        <v>Unavailable</v>
      </c>
      <c r="G119" s="248" t="s">
        <v>132</v>
      </c>
      <c r="H119" s="248">
        <v>18</v>
      </c>
      <c r="I119" s="248" t="str">
        <f>IF(AND(bloodline="Rötgrafen",animalism&gt;4,protean&gt;0),"Yes","No")</f>
        <v>No</v>
      </c>
    </row>
    <row r="120" spans="1:9" ht="16.5" customHeight="1" x14ac:dyDescent="0.25">
      <c r="A120" s="2" t="s">
        <v>77</v>
      </c>
      <c r="B120" s="248" t="s">
        <v>78</v>
      </c>
      <c r="C120" s="248">
        <f>resolve+animalken+animalism-IF(animalken&lt;1,1,0)</f>
        <v>0</v>
      </c>
      <c r="D120" s="248" t="s">
        <v>21</v>
      </c>
      <c r="E120" s="248" t="s">
        <v>12</v>
      </c>
      <c r="F120" s="248" t="str">
        <f>IF(clan1="Gangrel","Local","Unavailable")</f>
        <v>Unavailable</v>
      </c>
      <c r="G120" s="248" t="s">
        <v>79</v>
      </c>
      <c r="H120" s="248">
        <f>IF(AND(covenant1="Circle of the Crone",clan1="Gangrel"),15,18)</f>
        <v>18</v>
      </c>
      <c r="I120" s="248" t="str">
        <f>IF(AND(animalism&gt;3,protean&gt;1),"Yes","No")</f>
        <v>No</v>
      </c>
    </row>
    <row r="121" spans="1:9" ht="16.5" customHeight="1" x14ac:dyDescent="0.25">
      <c r="A121" s="2" t="s">
        <v>153</v>
      </c>
      <c r="B121" s="248" t="s">
        <v>55</v>
      </c>
      <c r="C121" s="248" t="s">
        <v>12</v>
      </c>
      <c r="D121" s="248" t="s">
        <v>21</v>
      </c>
      <c r="E121" s="248" t="s">
        <v>12</v>
      </c>
      <c r="F121" s="248" t="str">
        <f>IF(covenant1="Carthian Movement", "Local", "Unavailable")</f>
        <v>Unavailable</v>
      </c>
      <c r="G121" s="248" t="s">
        <v>2275</v>
      </c>
      <c r="H121" s="248">
        <v>5</v>
      </c>
      <c r="I121" s="248" t="str">
        <f>IF(AND(auspex&gt;0,resilience&gt;0),"Yes","No")</f>
        <v>No</v>
      </c>
    </row>
    <row r="122" spans="1:9" ht="16.5" customHeight="1" x14ac:dyDescent="0.25">
      <c r="A122" s="2" t="s">
        <v>163</v>
      </c>
      <c r="B122" s="248" t="s">
        <v>18</v>
      </c>
      <c r="C122" s="248">
        <f>intelligence+occult+obfuscate-IF(occult=0,3,0)</f>
        <v>-2</v>
      </c>
      <c r="D122" s="248" t="s">
        <v>21</v>
      </c>
      <c r="E122" s="248" t="s">
        <v>12</v>
      </c>
      <c r="F122" s="248" t="str">
        <f>IF(covenant1="Carthian Movement", "Local", "Unavailable")</f>
        <v>Unavailable</v>
      </c>
      <c r="G122" s="248" t="s">
        <v>2273</v>
      </c>
      <c r="H122" s="248">
        <v>15</v>
      </c>
      <c r="I122" s="248" t="str">
        <f>IF(AND(dominate&gt;4,obfuscate&gt;1),"Yes","No")</f>
        <v>No</v>
      </c>
    </row>
    <row r="123" spans="1:9" ht="16.5" customHeight="1" x14ac:dyDescent="0.25">
      <c r="A123" s="2" t="s">
        <v>56</v>
      </c>
      <c r="B123" s="248" t="s">
        <v>57</v>
      </c>
      <c r="C123" s="248">
        <f>manipulation+animalism+animalken-IF(animalken&lt;1,1,0)</f>
        <v>0</v>
      </c>
      <c r="D123" s="248" t="s">
        <v>21</v>
      </c>
      <c r="E123" s="248" t="s">
        <v>58</v>
      </c>
      <c r="F123" s="248" t="s">
        <v>14</v>
      </c>
      <c r="G123" s="248" t="s">
        <v>59</v>
      </c>
      <c r="H123" s="248">
        <v>12</v>
      </c>
      <c r="I123" s="248" t="str">
        <f>IF(AND(animalism&gt;2,protean&gt;0),"Yes","No")</f>
        <v>No</v>
      </c>
    </row>
    <row r="124" spans="1:9" ht="16.5" customHeight="1" x14ac:dyDescent="0.25">
      <c r="A124" s="2" t="s">
        <v>60</v>
      </c>
      <c r="B124" s="248" t="s">
        <v>11</v>
      </c>
      <c r="C124" s="248">
        <f>presence+subterfuge+majesty-IF(subterfuge&lt;1,1,0)</f>
        <v>0</v>
      </c>
      <c r="D124" s="248" t="s">
        <v>21</v>
      </c>
      <c r="E124" s="248" t="s">
        <v>58</v>
      </c>
      <c r="F124" s="248" t="s">
        <v>14</v>
      </c>
      <c r="G124" s="248" t="s">
        <v>1619</v>
      </c>
      <c r="H124" s="248">
        <v>12</v>
      </c>
      <c r="I124" s="248" t="str">
        <f>IF(AND(dominate&gt;1,majesty&gt;1),"Yes","No")</f>
        <v>No</v>
      </c>
    </row>
    <row r="125" spans="1:9" ht="16.5" customHeight="1" x14ac:dyDescent="0.25">
      <c r="A125" s="2" t="s">
        <v>154</v>
      </c>
      <c r="B125" s="248" t="s">
        <v>18</v>
      </c>
      <c r="C125" s="248" t="s">
        <v>12</v>
      </c>
      <c r="D125" s="248" t="s">
        <v>12</v>
      </c>
      <c r="E125" s="248" t="s">
        <v>12</v>
      </c>
      <c r="F125" s="248" t="str">
        <f>IF(covenant1="Carthian Movement", "Local", "Unavailable")</f>
        <v>Unavailable</v>
      </c>
      <c r="G125" s="248" t="s">
        <v>2275</v>
      </c>
      <c r="H125" s="248">
        <v>9</v>
      </c>
      <c r="I125" s="248" t="str">
        <f>IF(AND(protean&gt;1,resilience&gt;0),"Yes","No")</f>
        <v>No</v>
      </c>
    </row>
    <row r="126" spans="1:9" ht="16.5" customHeight="1" x14ac:dyDescent="0.25">
      <c r="A126" s="2" t="s">
        <v>106</v>
      </c>
      <c r="B126" s="248" t="s">
        <v>11</v>
      </c>
      <c r="C126" s="248">
        <f>strength+athletics+nightmare-IF(athletics&lt;1,1,0)</f>
        <v>0</v>
      </c>
      <c r="D126" s="248" t="s">
        <v>13</v>
      </c>
      <c r="E126" s="248" t="s">
        <v>12</v>
      </c>
      <c r="F126" s="248" t="str">
        <f>IF(clan1="Nosferatu", "Local", "Unavailable")</f>
        <v>Unavailable</v>
      </c>
      <c r="G126" s="248" t="s">
        <v>105</v>
      </c>
      <c r="H126" s="248">
        <v>9</v>
      </c>
      <c r="I126" s="248" t="str">
        <f>IF(AND(nightmare&gt;1,vigor&gt;0),"Yes","No")</f>
        <v>No</v>
      </c>
    </row>
    <row r="127" spans="1:9" ht="16.5" customHeight="1" x14ac:dyDescent="0.25">
      <c r="A127" s="2" t="s">
        <v>177</v>
      </c>
      <c r="B127" s="248" t="s">
        <v>55</v>
      </c>
      <c r="C127" s="248">
        <f>resolve+athletics+vigor-IF(athletics=0,1,0)</f>
        <v>0</v>
      </c>
      <c r="D127" s="248" t="s">
        <v>13</v>
      </c>
      <c r="E127" s="248" t="s">
        <v>12</v>
      </c>
      <c r="F127" s="248" t="s">
        <v>14</v>
      </c>
      <c r="G127" s="248" t="s">
        <v>176</v>
      </c>
      <c r="H127" s="248">
        <v>12</v>
      </c>
      <c r="I127" s="248" t="str">
        <f>IF(AND(vigor&gt;1,resilience&gt;1,covenant1="Ordo Dracul"),"Yes","No")</f>
        <v>No</v>
      </c>
    </row>
    <row r="128" spans="1:9" ht="16.5" customHeight="1" thickBot="1" x14ac:dyDescent="0.3">
      <c r="A128" s="529" t="s">
        <v>75</v>
      </c>
      <c r="B128" s="3" t="s">
        <v>11</v>
      </c>
      <c r="C128" s="3">
        <f>wits+occult+nightmare-IF(occult=0,3,0)</f>
        <v>-2</v>
      </c>
      <c r="D128" s="3" t="s">
        <v>21</v>
      </c>
      <c r="E128" s="3" t="s">
        <v>12</v>
      </c>
      <c r="F128" s="3" t="str">
        <f>IF(bloodline="Nelapsi", "Local", "Unavailable")</f>
        <v>Unavailable</v>
      </c>
      <c r="G128" s="3" t="s">
        <v>76</v>
      </c>
      <c r="H128" s="3">
        <v>9</v>
      </c>
      <c r="I128" s="3" t="str">
        <f>IF(AND(bloodline="Nelapsi",nightmare&gt;1,majesty&gt;0),"Yes","No")</f>
        <v>No</v>
      </c>
    </row>
  </sheetData>
  <sheetProtection password="8719" sheet="1" objects="1" scenarios="1" formatCells="0" formatRows="0" insertColumns="0" insertRows="0"/>
  <sortState ref="A3:I128">
    <sortCondition ref="A3:A128"/>
  </sortState>
  <mergeCells count="1">
    <mergeCell ref="A1:I1"/>
  </mergeCells>
  <pageMargins left="0.7" right="0.7" top="0.75" bottom="0.75" header="0.3" footer="0.3"/>
  <pageSetup paperSize="9"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zoomScale="90" zoomScaleNormal="90" workbookViewId="0">
      <pane ySplit="1" topLeftCell="A2" activePane="bottomLeft" state="frozen"/>
      <selection pane="bottomLeft" activeCell="A2" sqref="A2:H2"/>
    </sheetView>
  </sheetViews>
  <sheetFormatPr defaultRowHeight="12.75" x14ac:dyDescent="0.25"/>
  <cols>
    <col min="1" max="1" width="36.85546875" style="5" bestFit="1" customWidth="1"/>
    <col min="2" max="2" width="7.28515625" style="5" bestFit="1" customWidth="1"/>
    <col min="3" max="3" width="7.5703125" style="5" customWidth="1"/>
    <col min="4" max="4" width="21.140625" style="5" bestFit="1" customWidth="1"/>
    <col min="5" max="5" width="88.42578125" style="5" customWidth="1"/>
    <col min="6" max="6" width="16.28515625" style="5" bestFit="1" customWidth="1"/>
    <col min="7" max="7" width="9.140625" style="5"/>
    <col min="8" max="8" width="11.85546875" style="5" bestFit="1" customWidth="1"/>
    <col min="9" max="256" width="9.140625" style="5"/>
    <col min="257" max="257" width="36.85546875" style="5" bestFit="1" customWidth="1"/>
    <col min="258" max="258" width="9.140625" style="5" customWidth="1"/>
    <col min="259" max="259" width="11.7109375" style="5" customWidth="1"/>
    <col min="260" max="260" width="20" style="5" customWidth="1"/>
    <col min="261" max="261" width="88.42578125" style="5" bestFit="1" customWidth="1"/>
    <col min="262" max="262" width="16.28515625" style="5" bestFit="1" customWidth="1"/>
    <col min="263" max="263" width="9.140625" style="5"/>
    <col min="264" max="264" width="11.85546875" style="5" bestFit="1" customWidth="1"/>
    <col min="265" max="512" width="9.140625" style="5"/>
    <col min="513" max="513" width="36.85546875" style="5" bestFit="1" customWidth="1"/>
    <col min="514" max="514" width="9.140625" style="5" customWidth="1"/>
    <col min="515" max="515" width="11.7109375" style="5" customWidth="1"/>
    <col min="516" max="516" width="20" style="5" customWidth="1"/>
    <col min="517" max="517" width="88.42578125" style="5" bestFit="1" customWidth="1"/>
    <col min="518" max="518" width="16.28515625" style="5" bestFit="1" customWidth="1"/>
    <col min="519" max="519" width="9.140625" style="5"/>
    <col min="520" max="520" width="11.85546875" style="5" bestFit="1" customWidth="1"/>
    <col min="521" max="768" width="9.140625" style="5"/>
    <col min="769" max="769" width="36.85546875" style="5" bestFit="1" customWidth="1"/>
    <col min="770" max="770" width="9.140625" style="5" customWidth="1"/>
    <col min="771" max="771" width="11.7109375" style="5" customWidth="1"/>
    <col min="772" max="772" width="20" style="5" customWidth="1"/>
    <col min="773" max="773" width="88.42578125" style="5" bestFit="1" customWidth="1"/>
    <col min="774" max="774" width="16.28515625" style="5" bestFit="1" customWidth="1"/>
    <col min="775" max="775" width="9.140625" style="5"/>
    <col min="776" max="776" width="11.85546875" style="5" bestFit="1" customWidth="1"/>
    <col min="777" max="1024" width="9.140625" style="5"/>
    <col min="1025" max="1025" width="36.85546875" style="5" bestFit="1" customWidth="1"/>
    <col min="1026" max="1026" width="9.140625" style="5" customWidth="1"/>
    <col min="1027" max="1027" width="11.7109375" style="5" customWidth="1"/>
    <col min="1028" max="1028" width="20" style="5" customWidth="1"/>
    <col min="1029" max="1029" width="88.42578125" style="5" bestFit="1" customWidth="1"/>
    <col min="1030" max="1030" width="16.28515625" style="5" bestFit="1" customWidth="1"/>
    <col min="1031" max="1031" width="9.140625" style="5"/>
    <col min="1032" max="1032" width="11.85546875" style="5" bestFit="1" customWidth="1"/>
    <col min="1033" max="1280" width="9.140625" style="5"/>
    <col min="1281" max="1281" width="36.85546875" style="5" bestFit="1" customWidth="1"/>
    <col min="1282" max="1282" width="9.140625" style="5" customWidth="1"/>
    <col min="1283" max="1283" width="11.7109375" style="5" customWidth="1"/>
    <col min="1284" max="1284" width="20" style="5" customWidth="1"/>
    <col min="1285" max="1285" width="88.42578125" style="5" bestFit="1" customWidth="1"/>
    <col min="1286" max="1286" width="16.28515625" style="5" bestFit="1" customWidth="1"/>
    <col min="1287" max="1287" width="9.140625" style="5"/>
    <col min="1288" max="1288" width="11.85546875" style="5" bestFit="1" customWidth="1"/>
    <col min="1289" max="1536" width="9.140625" style="5"/>
    <col min="1537" max="1537" width="36.85546875" style="5" bestFit="1" customWidth="1"/>
    <col min="1538" max="1538" width="9.140625" style="5" customWidth="1"/>
    <col min="1539" max="1539" width="11.7109375" style="5" customWidth="1"/>
    <col min="1540" max="1540" width="20" style="5" customWidth="1"/>
    <col min="1541" max="1541" width="88.42578125" style="5" bestFit="1" customWidth="1"/>
    <col min="1542" max="1542" width="16.28515625" style="5" bestFit="1" customWidth="1"/>
    <col min="1543" max="1543" width="9.140625" style="5"/>
    <col min="1544" max="1544" width="11.85546875" style="5" bestFit="1" customWidth="1"/>
    <col min="1545" max="1792" width="9.140625" style="5"/>
    <col min="1793" max="1793" width="36.85546875" style="5" bestFit="1" customWidth="1"/>
    <col min="1794" max="1794" width="9.140625" style="5" customWidth="1"/>
    <col min="1795" max="1795" width="11.7109375" style="5" customWidth="1"/>
    <col min="1796" max="1796" width="20" style="5" customWidth="1"/>
    <col min="1797" max="1797" width="88.42578125" style="5" bestFit="1" customWidth="1"/>
    <col min="1798" max="1798" width="16.28515625" style="5" bestFit="1" customWidth="1"/>
    <col min="1799" max="1799" width="9.140625" style="5"/>
    <col min="1800" max="1800" width="11.85546875" style="5" bestFit="1" customWidth="1"/>
    <col min="1801" max="2048" width="9.140625" style="5"/>
    <col min="2049" max="2049" width="36.85546875" style="5" bestFit="1" customWidth="1"/>
    <col min="2050" max="2050" width="9.140625" style="5" customWidth="1"/>
    <col min="2051" max="2051" width="11.7109375" style="5" customWidth="1"/>
    <col min="2052" max="2052" width="20" style="5" customWidth="1"/>
    <col min="2053" max="2053" width="88.42578125" style="5" bestFit="1" customWidth="1"/>
    <col min="2054" max="2054" width="16.28515625" style="5" bestFit="1" customWidth="1"/>
    <col min="2055" max="2055" width="9.140625" style="5"/>
    <col min="2056" max="2056" width="11.85546875" style="5" bestFit="1" customWidth="1"/>
    <col min="2057" max="2304" width="9.140625" style="5"/>
    <col min="2305" max="2305" width="36.85546875" style="5" bestFit="1" customWidth="1"/>
    <col min="2306" max="2306" width="9.140625" style="5" customWidth="1"/>
    <col min="2307" max="2307" width="11.7109375" style="5" customWidth="1"/>
    <col min="2308" max="2308" width="20" style="5" customWidth="1"/>
    <col min="2309" max="2309" width="88.42578125" style="5" bestFit="1" customWidth="1"/>
    <col min="2310" max="2310" width="16.28515625" style="5" bestFit="1" customWidth="1"/>
    <col min="2311" max="2311" width="9.140625" style="5"/>
    <col min="2312" max="2312" width="11.85546875" style="5" bestFit="1" customWidth="1"/>
    <col min="2313" max="2560" width="9.140625" style="5"/>
    <col min="2561" max="2561" width="36.85546875" style="5" bestFit="1" customWidth="1"/>
    <col min="2562" max="2562" width="9.140625" style="5" customWidth="1"/>
    <col min="2563" max="2563" width="11.7109375" style="5" customWidth="1"/>
    <col min="2564" max="2564" width="20" style="5" customWidth="1"/>
    <col min="2565" max="2565" width="88.42578125" style="5" bestFit="1" customWidth="1"/>
    <col min="2566" max="2566" width="16.28515625" style="5" bestFit="1" customWidth="1"/>
    <col min="2567" max="2567" width="9.140625" style="5"/>
    <col min="2568" max="2568" width="11.85546875" style="5" bestFit="1" customWidth="1"/>
    <col min="2569" max="2816" width="9.140625" style="5"/>
    <col min="2817" max="2817" width="36.85546875" style="5" bestFit="1" customWidth="1"/>
    <col min="2818" max="2818" width="9.140625" style="5" customWidth="1"/>
    <col min="2819" max="2819" width="11.7109375" style="5" customWidth="1"/>
    <col min="2820" max="2820" width="20" style="5" customWidth="1"/>
    <col min="2821" max="2821" width="88.42578125" style="5" bestFit="1" customWidth="1"/>
    <col min="2822" max="2822" width="16.28515625" style="5" bestFit="1" customWidth="1"/>
    <col min="2823" max="2823" width="9.140625" style="5"/>
    <col min="2824" max="2824" width="11.85546875" style="5" bestFit="1" customWidth="1"/>
    <col min="2825" max="3072" width="9.140625" style="5"/>
    <col min="3073" max="3073" width="36.85546875" style="5" bestFit="1" customWidth="1"/>
    <col min="3074" max="3074" width="9.140625" style="5" customWidth="1"/>
    <col min="3075" max="3075" width="11.7109375" style="5" customWidth="1"/>
    <col min="3076" max="3076" width="20" style="5" customWidth="1"/>
    <col min="3077" max="3077" width="88.42578125" style="5" bestFit="1" customWidth="1"/>
    <col min="3078" max="3078" width="16.28515625" style="5" bestFit="1" customWidth="1"/>
    <col min="3079" max="3079" width="9.140625" style="5"/>
    <col min="3080" max="3080" width="11.85546875" style="5" bestFit="1" customWidth="1"/>
    <col min="3081" max="3328" width="9.140625" style="5"/>
    <col min="3329" max="3329" width="36.85546875" style="5" bestFit="1" customWidth="1"/>
    <col min="3330" max="3330" width="9.140625" style="5" customWidth="1"/>
    <col min="3331" max="3331" width="11.7109375" style="5" customWidth="1"/>
    <col min="3332" max="3332" width="20" style="5" customWidth="1"/>
    <col min="3333" max="3333" width="88.42578125" style="5" bestFit="1" customWidth="1"/>
    <col min="3334" max="3334" width="16.28515625" style="5" bestFit="1" customWidth="1"/>
    <col min="3335" max="3335" width="9.140625" style="5"/>
    <col min="3336" max="3336" width="11.85546875" style="5" bestFit="1" customWidth="1"/>
    <col min="3337" max="3584" width="9.140625" style="5"/>
    <col min="3585" max="3585" width="36.85546875" style="5" bestFit="1" customWidth="1"/>
    <col min="3586" max="3586" width="9.140625" style="5" customWidth="1"/>
    <col min="3587" max="3587" width="11.7109375" style="5" customWidth="1"/>
    <col min="3588" max="3588" width="20" style="5" customWidth="1"/>
    <col min="3589" max="3589" width="88.42578125" style="5" bestFit="1" customWidth="1"/>
    <col min="3590" max="3590" width="16.28515625" style="5" bestFit="1" customWidth="1"/>
    <col min="3591" max="3591" width="9.140625" style="5"/>
    <col min="3592" max="3592" width="11.85546875" style="5" bestFit="1" customWidth="1"/>
    <col min="3593" max="3840" width="9.140625" style="5"/>
    <col min="3841" max="3841" width="36.85546875" style="5" bestFit="1" customWidth="1"/>
    <col min="3842" max="3842" width="9.140625" style="5" customWidth="1"/>
    <col min="3843" max="3843" width="11.7109375" style="5" customWidth="1"/>
    <col min="3844" max="3844" width="20" style="5" customWidth="1"/>
    <col min="3845" max="3845" width="88.42578125" style="5" bestFit="1" customWidth="1"/>
    <col min="3846" max="3846" width="16.28515625" style="5" bestFit="1" customWidth="1"/>
    <col min="3847" max="3847" width="9.140625" style="5"/>
    <col min="3848" max="3848" width="11.85546875" style="5" bestFit="1" customWidth="1"/>
    <col min="3849" max="4096" width="9.140625" style="5"/>
    <col min="4097" max="4097" width="36.85546875" style="5" bestFit="1" customWidth="1"/>
    <col min="4098" max="4098" width="9.140625" style="5" customWidth="1"/>
    <col min="4099" max="4099" width="11.7109375" style="5" customWidth="1"/>
    <col min="4100" max="4100" width="20" style="5" customWidth="1"/>
    <col min="4101" max="4101" width="88.42578125" style="5" bestFit="1" customWidth="1"/>
    <col min="4102" max="4102" width="16.28515625" style="5" bestFit="1" customWidth="1"/>
    <col min="4103" max="4103" width="9.140625" style="5"/>
    <col min="4104" max="4104" width="11.85546875" style="5" bestFit="1" customWidth="1"/>
    <col min="4105" max="4352" width="9.140625" style="5"/>
    <col min="4353" max="4353" width="36.85546875" style="5" bestFit="1" customWidth="1"/>
    <col min="4354" max="4354" width="9.140625" style="5" customWidth="1"/>
    <col min="4355" max="4355" width="11.7109375" style="5" customWidth="1"/>
    <col min="4356" max="4356" width="20" style="5" customWidth="1"/>
    <col min="4357" max="4357" width="88.42578125" style="5" bestFit="1" customWidth="1"/>
    <col min="4358" max="4358" width="16.28515625" style="5" bestFit="1" customWidth="1"/>
    <col min="4359" max="4359" width="9.140625" style="5"/>
    <col min="4360" max="4360" width="11.85546875" style="5" bestFit="1" customWidth="1"/>
    <col min="4361" max="4608" width="9.140625" style="5"/>
    <col min="4609" max="4609" width="36.85546875" style="5" bestFit="1" customWidth="1"/>
    <col min="4610" max="4610" width="9.140625" style="5" customWidth="1"/>
    <col min="4611" max="4611" width="11.7109375" style="5" customWidth="1"/>
    <col min="4612" max="4612" width="20" style="5" customWidth="1"/>
    <col min="4613" max="4613" width="88.42578125" style="5" bestFit="1" customWidth="1"/>
    <col min="4614" max="4614" width="16.28515625" style="5" bestFit="1" customWidth="1"/>
    <col min="4615" max="4615" width="9.140625" style="5"/>
    <col min="4616" max="4616" width="11.85546875" style="5" bestFit="1" customWidth="1"/>
    <col min="4617" max="4864" width="9.140625" style="5"/>
    <col min="4865" max="4865" width="36.85546875" style="5" bestFit="1" customWidth="1"/>
    <col min="4866" max="4866" width="9.140625" style="5" customWidth="1"/>
    <col min="4867" max="4867" width="11.7109375" style="5" customWidth="1"/>
    <col min="4868" max="4868" width="20" style="5" customWidth="1"/>
    <col min="4869" max="4869" width="88.42578125" style="5" bestFit="1" customWidth="1"/>
    <col min="4870" max="4870" width="16.28515625" style="5" bestFit="1" customWidth="1"/>
    <col min="4871" max="4871" width="9.140625" style="5"/>
    <col min="4872" max="4872" width="11.85546875" style="5" bestFit="1" customWidth="1"/>
    <col min="4873" max="5120" width="9.140625" style="5"/>
    <col min="5121" max="5121" width="36.85546875" style="5" bestFit="1" customWidth="1"/>
    <col min="5122" max="5122" width="9.140625" style="5" customWidth="1"/>
    <col min="5123" max="5123" width="11.7109375" style="5" customWidth="1"/>
    <col min="5124" max="5124" width="20" style="5" customWidth="1"/>
    <col min="5125" max="5125" width="88.42578125" style="5" bestFit="1" customWidth="1"/>
    <col min="5126" max="5126" width="16.28515625" style="5" bestFit="1" customWidth="1"/>
    <col min="5127" max="5127" width="9.140625" style="5"/>
    <col min="5128" max="5128" width="11.85546875" style="5" bestFit="1" customWidth="1"/>
    <col min="5129" max="5376" width="9.140625" style="5"/>
    <col min="5377" max="5377" width="36.85546875" style="5" bestFit="1" customWidth="1"/>
    <col min="5378" max="5378" width="9.140625" style="5" customWidth="1"/>
    <col min="5379" max="5379" width="11.7109375" style="5" customWidth="1"/>
    <col min="5380" max="5380" width="20" style="5" customWidth="1"/>
    <col min="5381" max="5381" width="88.42578125" style="5" bestFit="1" customWidth="1"/>
    <col min="5382" max="5382" width="16.28515625" style="5" bestFit="1" customWidth="1"/>
    <col min="5383" max="5383" width="9.140625" style="5"/>
    <col min="5384" max="5384" width="11.85546875" style="5" bestFit="1" customWidth="1"/>
    <col min="5385" max="5632" width="9.140625" style="5"/>
    <col min="5633" max="5633" width="36.85546875" style="5" bestFit="1" customWidth="1"/>
    <col min="5634" max="5634" width="9.140625" style="5" customWidth="1"/>
    <col min="5635" max="5635" width="11.7109375" style="5" customWidth="1"/>
    <col min="5636" max="5636" width="20" style="5" customWidth="1"/>
    <col min="5637" max="5637" width="88.42578125" style="5" bestFit="1" customWidth="1"/>
    <col min="5638" max="5638" width="16.28515625" style="5" bestFit="1" customWidth="1"/>
    <col min="5639" max="5639" width="9.140625" style="5"/>
    <col min="5640" max="5640" width="11.85546875" style="5" bestFit="1" customWidth="1"/>
    <col min="5641" max="5888" width="9.140625" style="5"/>
    <col min="5889" max="5889" width="36.85546875" style="5" bestFit="1" customWidth="1"/>
    <col min="5890" max="5890" width="9.140625" style="5" customWidth="1"/>
    <col min="5891" max="5891" width="11.7109375" style="5" customWidth="1"/>
    <col min="5892" max="5892" width="20" style="5" customWidth="1"/>
    <col min="5893" max="5893" width="88.42578125" style="5" bestFit="1" customWidth="1"/>
    <col min="5894" max="5894" width="16.28515625" style="5" bestFit="1" customWidth="1"/>
    <col min="5895" max="5895" width="9.140625" style="5"/>
    <col min="5896" max="5896" width="11.85546875" style="5" bestFit="1" customWidth="1"/>
    <col min="5897" max="6144" width="9.140625" style="5"/>
    <col min="6145" max="6145" width="36.85546875" style="5" bestFit="1" customWidth="1"/>
    <col min="6146" max="6146" width="9.140625" style="5" customWidth="1"/>
    <col min="6147" max="6147" width="11.7109375" style="5" customWidth="1"/>
    <col min="6148" max="6148" width="20" style="5" customWidth="1"/>
    <col min="6149" max="6149" width="88.42578125" style="5" bestFit="1" customWidth="1"/>
    <col min="6150" max="6150" width="16.28515625" style="5" bestFit="1" customWidth="1"/>
    <col min="6151" max="6151" width="9.140625" style="5"/>
    <col min="6152" max="6152" width="11.85546875" style="5" bestFit="1" customWidth="1"/>
    <col min="6153" max="6400" width="9.140625" style="5"/>
    <col min="6401" max="6401" width="36.85546875" style="5" bestFit="1" customWidth="1"/>
    <col min="6402" max="6402" width="9.140625" style="5" customWidth="1"/>
    <col min="6403" max="6403" width="11.7109375" style="5" customWidth="1"/>
    <col min="6404" max="6404" width="20" style="5" customWidth="1"/>
    <col min="6405" max="6405" width="88.42578125" style="5" bestFit="1" customWidth="1"/>
    <col min="6406" max="6406" width="16.28515625" style="5" bestFit="1" customWidth="1"/>
    <col min="6407" max="6407" width="9.140625" style="5"/>
    <col min="6408" max="6408" width="11.85546875" style="5" bestFit="1" customWidth="1"/>
    <col min="6409" max="6656" width="9.140625" style="5"/>
    <col min="6657" max="6657" width="36.85546875" style="5" bestFit="1" customWidth="1"/>
    <col min="6658" max="6658" width="9.140625" style="5" customWidth="1"/>
    <col min="6659" max="6659" width="11.7109375" style="5" customWidth="1"/>
    <col min="6660" max="6660" width="20" style="5" customWidth="1"/>
    <col min="6661" max="6661" width="88.42578125" style="5" bestFit="1" customWidth="1"/>
    <col min="6662" max="6662" width="16.28515625" style="5" bestFit="1" customWidth="1"/>
    <col min="6663" max="6663" width="9.140625" style="5"/>
    <col min="6664" max="6664" width="11.85546875" style="5" bestFit="1" customWidth="1"/>
    <col min="6665" max="6912" width="9.140625" style="5"/>
    <col min="6913" max="6913" width="36.85546875" style="5" bestFit="1" customWidth="1"/>
    <col min="6914" max="6914" width="9.140625" style="5" customWidth="1"/>
    <col min="6915" max="6915" width="11.7109375" style="5" customWidth="1"/>
    <col min="6916" max="6916" width="20" style="5" customWidth="1"/>
    <col min="6917" max="6917" width="88.42578125" style="5" bestFit="1" customWidth="1"/>
    <col min="6918" max="6918" width="16.28515625" style="5" bestFit="1" customWidth="1"/>
    <col min="6919" max="6919" width="9.140625" style="5"/>
    <col min="6920" max="6920" width="11.85546875" style="5" bestFit="1" customWidth="1"/>
    <col min="6921" max="7168" width="9.140625" style="5"/>
    <col min="7169" max="7169" width="36.85546875" style="5" bestFit="1" customWidth="1"/>
    <col min="7170" max="7170" width="9.140625" style="5" customWidth="1"/>
    <col min="7171" max="7171" width="11.7109375" style="5" customWidth="1"/>
    <col min="7172" max="7172" width="20" style="5" customWidth="1"/>
    <col min="7173" max="7173" width="88.42578125" style="5" bestFit="1" customWidth="1"/>
    <col min="7174" max="7174" width="16.28515625" style="5" bestFit="1" customWidth="1"/>
    <col min="7175" max="7175" width="9.140625" style="5"/>
    <col min="7176" max="7176" width="11.85546875" style="5" bestFit="1" customWidth="1"/>
    <col min="7177" max="7424" width="9.140625" style="5"/>
    <col min="7425" max="7425" width="36.85546875" style="5" bestFit="1" customWidth="1"/>
    <col min="7426" max="7426" width="9.140625" style="5" customWidth="1"/>
    <col min="7427" max="7427" width="11.7109375" style="5" customWidth="1"/>
    <col min="7428" max="7428" width="20" style="5" customWidth="1"/>
    <col min="7429" max="7429" width="88.42578125" style="5" bestFit="1" customWidth="1"/>
    <col min="7430" max="7430" width="16.28515625" style="5" bestFit="1" customWidth="1"/>
    <col min="7431" max="7431" width="9.140625" style="5"/>
    <col min="7432" max="7432" width="11.85546875" style="5" bestFit="1" customWidth="1"/>
    <col min="7433" max="7680" width="9.140625" style="5"/>
    <col min="7681" max="7681" width="36.85546875" style="5" bestFit="1" customWidth="1"/>
    <col min="7682" max="7682" width="9.140625" style="5" customWidth="1"/>
    <col min="7683" max="7683" width="11.7109375" style="5" customWidth="1"/>
    <col min="7684" max="7684" width="20" style="5" customWidth="1"/>
    <col min="7685" max="7685" width="88.42578125" style="5" bestFit="1" customWidth="1"/>
    <col min="7686" max="7686" width="16.28515625" style="5" bestFit="1" customWidth="1"/>
    <col min="7687" max="7687" width="9.140625" style="5"/>
    <col min="7688" max="7688" width="11.85546875" style="5" bestFit="1" customWidth="1"/>
    <col min="7689" max="7936" width="9.140625" style="5"/>
    <col min="7937" max="7937" width="36.85546875" style="5" bestFit="1" customWidth="1"/>
    <col min="7938" max="7938" width="9.140625" style="5" customWidth="1"/>
    <col min="7939" max="7939" width="11.7109375" style="5" customWidth="1"/>
    <col min="7940" max="7940" width="20" style="5" customWidth="1"/>
    <col min="7941" max="7941" width="88.42578125" style="5" bestFit="1" customWidth="1"/>
    <col min="7942" max="7942" width="16.28515625" style="5" bestFit="1" customWidth="1"/>
    <col min="7943" max="7943" width="9.140625" style="5"/>
    <col min="7944" max="7944" width="11.85546875" style="5" bestFit="1" customWidth="1"/>
    <col min="7945" max="8192" width="9.140625" style="5"/>
    <col min="8193" max="8193" width="36.85546875" style="5" bestFit="1" customWidth="1"/>
    <col min="8194" max="8194" width="9.140625" style="5" customWidth="1"/>
    <col min="8195" max="8195" width="11.7109375" style="5" customWidth="1"/>
    <col min="8196" max="8196" width="20" style="5" customWidth="1"/>
    <col min="8197" max="8197" width="88.42578125" style="5" bestFit="1" customWidth="1"/>
    <col min="8198" max="8198" width="16.28515625" style="5" bestFit="1" customWidth="1"/>
    <col min="8199" max="8199" width="9.140625" style="5"/>
    <col min="8200" max="8200" width="11.85546875" style="5" bestFit="1" customWidth="1"/>
    <col min="8201" max="8448" width="9.140625" style="5"/>
    <col min="8449" max="8449" width="36.85546875" style="5" bestFit="1" customWidth="1"/>
    <col min="8450" max="8450" width="9.140625" style="5" customWidth="1"/>
    <col min="8451" max="8451" width="11.7109375" style="5" customWidth="1"/>
    <col min="8452" max="8452" width="20" style="5" customWidth="1"/>
    <col min="8453" max="8453" width="88.42578125" style="5" bestFit="1" customWidth="1"/>
    <col min="8454" max="8454" width="16.28515625" style="5" bestFit="1" customWidth="1"/>
    <col min="8455" max="8455" width="9.140625" style="5"/>
    <col min="8456" max="8456" width="11.85546875" style="5" bestFit="1" customWidth="1"/>
    <col min="8457" max="8704" width="9.140625" style="5"/>
    <col min="8705" max="8705" width="36.85546875" style="5" bestFit="1" customWidth="1"/>
    <col min="8706" max="8706" width="9.140625" style="5" customWidth="1"/>
    <col min="8707" max="8707" width="11.7109375" style="5" customWidth="1"/>
    <col min="8708" max="8708" width="20" style="5" customWidth="1"/>
    <col min="8709" max="8709" width="88.42578125" style="5" bestFit="1" customWidth="1"/>
    <col min="8710" max="8710" width="16.28515625" style="5" bestFit="1" customWidth="1"/>
    <col min="8711" max="8711" width="9.140625" style="5"/>
    <col min="8712" max="8712" width="11.85546875" style="5" bestFit="1" customWidth="1"/>
    <col min="8713" max="8960" width="9.140625" style="5"/>
    <col min="8961" max="8961" width="36.85546875" style="5" bestFit="1" customWidth="1"/>
    <col min="8962" max="8962" width="9.140625" style="5" customWidth="1"/>
    <col min="8963" max="8963" width="11.7109375" style="5" customWidth="1"/>
    <col min="8964" max="8964" width="20" style="5" customWidth="1"/>
    <col min="8965" max="8965" width="88.42578125" style="5" bestFit="1" customWidth="1"/>
    <col min="8966" max="8966" width="16.28515625" style="5" bestFit="1" customWidth="1"/>
    <col min="8967" max="8967" width="9.140625" style="5"/>
    <col min="8968" max="8968" width="11.85546875" style="5" bestFit="1" customWidth="1"/>
    <col min="8969" max="9216" width="9.140625" style="5"/>
    <col min="9217" max="9217" width="36.85546875" style="5" bestFit="1" customWidth="1"/>
    <col min="9218" max="9218" width="9.140625" style="5" customWidth="1"/>
    <col min="9219" max="9219" width="11.7109375" style="5" customWidth="1"/>
    <col min="9220" max="9220" width="20" style="5" customWidth="1"/>
    <col min="9221" max="9221" width="88.42578125" style="5" bestFit="1" customWidth="1"/>
    <col min="9222" max="9222" width="16.28515625" style="5" bestFit="1" customWidth="1"/>
    <col min="9223" max="9223" width="9.140625" style="5"/>
    <col min="9224" max="9224" width="11.85546875" style="5" bestFit="1" customWidth="1"/>
    <col min="9225" max="9472" width="9.140625" style="5"/>
    <col min="9473" max="9473" width="36.85546875" style="5" bestFit="1" customWidth="1"/>
    <col min="9474" max="9474" width="9.140625" style="5" customWidth="1"/>
    <col min="9475" max="9475" width="11.7109375" style="5" customWidth="1"/>
    <col min="9476" max="9476" width="20" style="5" customWidth="1"/>
    <col min="9477" max="9477" width="88.42578125" style="5" bestFit="1" customWidth="1"/>
    <col min="9478" max="9478" width="16.28515625" style="5" bestFit="1" customWidth="1"/>
    <col min="9479" max="9479" width="9.140625" style="5"/>
    <col min="9480" max="9480" width="11.85546875" style="5" bestFit="1" customWidth="1"/>
    <col min="9481" max="9728" width="9.140625" style="5"/>
    <col min="9729" max="9729" width="36.85546875" style="5" bestFit="1" customWidth="1"/>
    <col min="9730" max="9730" width="9.140625" style="5" customWidth="1"/>
    <col min="9731" max="9731" width="11.7109375" style="5" customWidth="1"/>
    <col min="9732" max="9732" width="20" style="5" customWidth="1"/>
    <col min="9733" max="9733" width="88.42578125" style="5" bestFit="1" customWidth="1"/>
    <col min="9734" max="9734" width="16.28515625" style="5" bestFit="1" customWidth="1"/>
    <col min="9735" max="9735" width="9.140625" style="5"/>
    <col min="9736" max="9736" width="11.85546875" style="5" bestFit="1" customWidth="1"/>
    <col min="9737" max="9984" width="9.140625" style="5"/>
    <col min="9985" max="9985" width="36.85546875" style="5" bestFit="1" customWidth="1"/>
    <col min="9986" max="9986" width="9.140625" style="5" customWidth="1"/>
    <col min="9987" max="9987" width="11.7109375" style="5" customWidth="1"/>
    <col min="9988" max="9988" width="20" style="5" customWidth="1"/>
    <col min="9989" max="9989" width="88.42578125" style="5" bestFit="1" customWidth="1"/>
    <col min="9990" max="9990" width="16.28515625" style="5" bestFit="1" customWidth="1"/>
    <col min="9991" max="9991" width="9.140625" style="5"/>
    <col min="9992" max="9992" width="11.85546875" style="5" bestFit="1" customWidth="1"/>
    <col min="9993" max="10240" width="9.140625" style="5"/>
    <col min="10241" max="10241" width="36.85546875" style="5" bestFit="1" customWidth="1"/>
    <col min="10242" max="10242" width="9.140625" style="5" customWidth="1"/>
    <col min="10243" max="10243" width="11.7109375" style="5" customWidth="1"/>
    <col min="10244" max="10244" width="20" style="5" customWidth="1"/>
    <col min="10245" max="10245" width="88.42578125" style="5" bestFit="1" customWidth="1"/>
    <col min="10246" max="10246" width="16.28515625" style="5" bestFit="1" customWidth="1"/>
    <col min="10247" max="10247" width="9.140625" style="5"/>
    <col min="10248" max="10248" width="11.85546875" style="5" bestFit="1" customWidth="1"/>
    <col min="10249" max="10496" width="9.140625" style="5"/>
    <col min="10497" max="10497" width="36.85546875" style="5" bestFit="1" customWidth="1"/>
    <col min="10498" max="10498" width="9.140625" style="5" customWidth="1"/>
    <col min="10499" max="10499" width="11.7109375" style="5" customWidth="1"/>
    <col min="10500" max="10500" width="20" style="5" customWidth="1"/>
    <col min="10501" max="10501" width="88.42578125" style="5" bestFit="1" customWidth="1"/>
    <col min="10502" max="10502" width="16.28515625" style="5" bestFit="1" customWidth="1"/>
    <col min="10503" max="10503" width="9.140625" style="5"/>
    <col min="10504" max="10504" width="11.85546875" style="5" bestFit="1" customWidth="1"/>
    <col min="10505" max="10752" width="9.140625" style="5"/>
    <col min="10753" max="10753" width="36.85546875" style="5" bestFit="1" customWidth="1"/>
    <col min="10754" max="10754" width="9.140625" style="5" customWidth="1"/>
    <col min="10755" max="10755" width="11.7109375" style="5" customWidth="1"/>
    <col min="10756" max="10756" width="20" style="5" customWidth="1"/>
    <col min="10757" max="10757" width="88.42578125" style="5" bestFit="1" customWidth="1"/>
    <col min="10758" max="10758" width="16.28515625" style="5" bestFit="1" customWidth="1"/>
    <col min="10759" max="10759" width="9.140625" style="5"/>
    <col min="10760" max="10760" width="11.85546875" style="5" bestFit="1" customWidth="1"/>
    <col min="10761" max="11008" width="9.140625" style="5"/>
    <col min="11009" max="11009" width="36.85546875" style="5" bestFit="1" customWidth="1"/>
    <col min="11010" max="11010" width="9.140625" style="5" customWidth="1"/>
    <col min="11011" max="11011" width="11.7109375" style="5" customWidth="1"/>
    <col min="11012" max="11012" width="20" style="5" customWidth="1"/>
    <col min="11013" max="11013" width="88.42578125" style="5" bestFit="1" customWidth="1"/>
    <col min="11014" max="11014" width="16.28515625" style="5" bestFit="1" customWidth="1"/>
    <col min="11015" max="11015" width="9.140625" style="5"/>
    <col min="11016" max="11016" width="11.85546875" style="5" bestFit="1" customWidth="1"/>
    <col min="11017" max="11264" width="9.140625" style="5"/>
    <col min="11265" max="11265" width="36.85546875" style="5" bestFit="1" customWidth="1"/>
    <col min="11266" max="11266" width="9.140625" style="5" customWidth="1"/>
    <col min="11267" max="11267" width="11.7109375" style="5" customWidth="1"/>
    <col min="11268" max="11268" width="20" style="5" customWidth="1"/>
    <col min="11269" max="11269" width="88.42578125" style="5" bestFit="1" customWidth="1"/>
    <col min="11270" max="11270" width="16.28515625" style="5" bestFit="1" customWidth="1"/>
    <col min="11271" max="11271" width="9.140625" style="5"/>
    <col min="11272" max="11272" width="11.85546875" style="5" bestFit="1" customWidth="1"/>
    <col min="11273" max="11520" width="9.140625" style="5"/>
    <col min="11521" max="11521" width="36.85546875" style="5" bestFit="1" customWidth="1"/>
    <col min="11522" max="11522" width="9.140625" style="5" customWidth="1"/>
    <col min="11523" max="11523" width="11.7109375" style="5" customWidth="1"/>
    <col min="11524" max="11524" width="20" style="5" customWidth="1"/>
    <col min="11525" max="11525" width="88.42578125" style="5" bestFit="1" customWidth="1"/>
    <col min="11526" max="11526" width="16.28515625" style="5" bestFit="1" customWidth="1"/>
    <col min="11527" max="11527" width="9.140625" style="5"/>
    <col min="11528" max="11528" width="11.85546875" style="5" bestFit="1" customWidth="1"/>
    <col min="11529" max="11776" width="9.140625" style="5"/>
    <col min="11777" max="11777" width="36.85546875" style="5" bestFit="1" customWidth="1"/>
    <col min="11778" max="11778" width="9.140625" style="5" customWidth="1"/>
    <col min="11779" max="11779" width="11.7109375" style="5" customWidth="1"/>
    <col min="11780" max="11780" width="20" style="5" customWidth="1"/>
    <col min="11781" max="11781" width="88.42578125" style="5" bestFit="1" customWidth="1"/>
    <col min="11782" max="11782" width="16.28515625" style="5" bestFit="1" customWidth="1"/>
    <col min="11783" max="11783" width="9.140625" style="5"/>
    <col min="11784" max="11784" width="11.85546875" style="5" bestFit="1" customWidth="1"/>
    <col min="11785" max="12032" width="9.140625" style="5"/>
    <col min="12033" max="12033" width="36.85546875" style="5" bestFit="1" customWidth="1"/>
    <col min="12034" max="12034" width="9.140625" style="5" customWidth="1"/>
    <col min="12035" max="12035" width="11.7109375" style="5" customWidth="1"/>
    <col min="12036" max="12036" width="20" style="5" customWidth="1"/>
    <col min="12037" max="12037" width="88.42578125" style="5" bestFit="1" customWidth="1"/>
    <col min="12038" max="12038" width="16.28515625" style="5" bestFit="1" customWidth="1"/>
    <col min="12039" max="12039" width="9.140625" style="5"/>
    <col min="12040" max="12040" width="11.85546875" style="5" bestFit="1" customWidth="1"/>
    <col min="12041" max="12288" width="9.140625" style="5"/>
    <col min="12289" max="12289" width="36.85546875" style="5" bestFit="1" customWidth="1"/>
    <col min="12290" max="12290" width="9.140625" style="5" customWidth="1"/>
    <col min="12291" max="12291" width="11.7109375" style="5" customWidth="1"/>
    <col min="12292" max="12292" width="20" style="5" customWidth="1"/>
    <col min="12293" max="12293" width="88.42578125" style="5" bestFit="1" customWidth="1"/>
    <col min="12294" max="12294" width="16.28515625" style="5" bestFit="1" customWidth="1"/>
    <col min="12295" max="12295" width="9.140625" style="5"/>
    <col min="12296" max="12296" width="11.85546875" style="5" bestFit="1" customWidth="1"/>
    <col min="12297" max="12544" width="9.140625" style="5"/>
    <col min="12545" max="12545" width="36.85546875" style="5" bestFit="1" customWidth="1"/>
    <col min="12546" max="12546" width="9.140625" style="5" customWidth="1"/>
    <col min="12547" max="12547" width="11.7109375" style="5" customWidth="1"/>
    <col min="12548" max="12548" width="20" style="5" customWidth="1"/>
    <col min="12549" max="12549" width="88.42578125" style="5" bestFit="1" customWidth="1"/>
    <col min="12550" max="12550" width="16.28515625" style="5" bestFit="1" customWidth="1"/>
    <col min="12551" max="12551" width="9.140625" style="5"/>
    <col min="12552" max="12552" width="11.85546875" style="5" bestFit="1" customWidth="1"/>
    <col min="12553" max="12800" width="9.140625" style="5"/>
    <col min="12801" max="12801" width="36.85546875" style="5" bestFit="1" customWidth="1"/>
    <col min="12802" max="12802" width="9.140625" style="5" customWidth="1"/>
    <col min="12803" max="12803" width="11.7109375" style="5" customWidth="1"/>
    <col min="12804" max="12804" width="20" style="5" customWidth="1"/>
    <col min="12805" max="12805" width="88.42578125" style="5" bestFit="1" customWidth="1"/>
    <col min="12806" max="12806" width="16.28515625" style="5" bestFit="1" customWidth="1"/>
    <col min="12807" max="12807" width="9.140625" style="5"/>
    <col min="12808" max="12808" width="11.85546875" style="5" bestFit="1" customWidth="1"/>
    <col min="12809" max="13056" width="9.140625" style="5"/>
    <col min="13057" max="13057" width="36.85546875" style="5" bestFit="1" customWidth="1"/>
    <col min="13058" max="13058" width="9.140625" style="5" customWidth="1"/>
    <col min="13059" max="13059" width="11.7109375" style="5" customWidth="1"/>
    <col min="13060" max="13060" width="20" style="5" customWidth="1"/>
    <col min="13061" max="13061" width="88.42578125" style="5" bestFit="1" customWidth="1"/>
    <col min="13062" max="13062" width="16.28515625" style="5" bestFit="1" customWidth="1"/>
    <col min="13063" max="13063" width="9.140625" style="5"/>
    <col min="13064" max="13064" width="11.85546875" style="5" bestFit="1" customWidth="1"/>
    <col min="13065" max="13312" width="9.140625" style="5"/>
    <col min="13313" max="13313" width="36.85546875" style="5" bestFit="1" customWidth="1"/>
    <col min="13314" max="13314" width="9.140625" style="5" customWidth="1"/>
    <col min="13315" max="13315" width="11.7109375" style="5" customWidth="1"/>
    <col min="13316" max="13316" width="20" style="5" customWidth="1"/>
    <col min="13317" max="13317" width="88.42578125" style="5" bestFit="1" customWidth="1"/>
    <col min="13318" max="13318" width="16.28515625" style="5" bestFit="1" customWidth="1"/>
    <col min="13319" max="13319" width="9.140625" style="5"/>
    <col min="13320" max="13320" width="11.85546875" style="5" bestFit="1" customWidth="1"/>
    <col min="13321" max="13568" width="9.140625" style="5"/>
    <col min="13569" max="13569" width="36.85546875" style="5" bestFit="1" customWidth="1"/>
    <col min="13570" max="13570" width="9.140625" style="5" customWidth="1"/>
    <col min="13571" max="13571" width="11.7109375" style="5" customWidth="1"/>
    <col min="13572" max="13572" width="20" style="5" customWidth="1"/>
    <col min="13573" max="13573" width="88.42578125" style="5" bestFit="1" customWidth="1"/>
    <col min="13574" max="13574" width="16.28515625" style="5" bestFit="1" customWidth="1"/>
    <col min="13575" max="13575" width="9.140625" style="5"/>
    <col min="13576" max="13576" width="11.85546875" style="5" bestFit="1" customWidth="1"/>
    <col min="13577" max="13824" width="9.140625" style="5"/>
    <col min="13825" max="13825" width="36.85546875" style="5" bestFit="1" customWidth="1"/>
    <col min="13826" max="13826" width="9.140625" style="5" customWidth="1"/>
    <col min="13827" max="13827" width="11.7109375" style="5" customWidth="1"/>
    <col min="13828" max="13828" width="20" style="5" customWidth="1"/>
    <col min="13829" max="13829" width="88.42578125" style="5" bestFit="1" customWidth="1"/>
    <col min="13830" max="13830" width="16.28515625" style="5" bestFit="1" customWidth="1"/>
    <col min="13831" max="13831" width="9.140625" style="5"/>
    <col min="13832" max="13832" width="11.85546875" style="5" bestFit="1" customWidth="1"/>
    <col min="13833" max="14080" width="9.140625" style="5"/>
    <col min="14081" max="14081" width="36.85546875" style="5" bestFit="1" customWidth="1"/>
    <col min="14082" max="14082" width="9.140625" style="5" customWidth="1"/>
    <col min="14083" max="14083" width="11.7109375" style="5" customWidth="1"/>
    <col min="14084" max="14084" width="20" style="5" customWidth="1"/>
    <col min="14085" max="14085" width="88.42578125" style="5" bestFit="1" customWidth="1"/>
    <col min="14086" max="14086" width="16.28515625" style="5" bestFit="1" customWidth="1"/>
    <col min="14087" max="14087" width="9.140625" style="5"/>
    <col min="14088" max="14088" width="11.85546875" style="5" bestFit="1" customWidth="1"/>
    <col min="14089" max="14336" width="9.140625" style="5"/>
    <col min="14337" max="14337" width="36.85546875" style="5" bestFit="1" customWidth="1"/>
    <col min="14338" max="14338" width="9.140625" style="5" customWidth="1"/>
    <col min="14339" max="14339" width="11.7109375" style="5" customWidth="1"/>
    <col min="14340" max="14340" width="20" style="5" customWidth="1"/>
    <col min="14341" max="14341" width="88.42578125" style="5" bestFit="1" customWidth="1"/>
    <col min="14342" max="14342" width="16.28515625" style="5" bestFit="1" customWidth="1"/>
    <col min="14343" max="14343" width="9.140625" style="5"/>
    <col min="14344" max="14344" width="11.85546875" style="5" bestFit="1" customWidth="1"/>
    <col min="14345" max="14592" width="9.140625" style="5"/>
    <col min="14593" max="14593" width="36.85546875" style="5" bestFit="1" customWidth="1"/>
    <col min="14594" max="14594" width="9.140625" style="5" customWidth="1"/>
    <col min="14595" max="14595" width="11.7109375" style="5" customWidth="1"/>
    <col min="14596" max="14596" width="20" style="5" customWidth="1"/>
    <col min="14597" max="14597" width="88.42578125" style="5" bestFit="1" customWidth="1"/>
    <col min="14598" max="14598" width="16.28515625" style="5" bestFit="1" customWidth="1"/>
    <col min="14599" max="14599" width="9.140625" style="5"/>
    <col min="14600" max="14600" width="11.85546875" style="5" bestFit="1" customWidth="1"/>
    <col min="14601" max="14848" width="9.140625" style="5"/>
    <col min="14849" max="14849" width="36.85546875" style="5" bestFit="1" customWidth="1"/>
    <col min="14850" max="14850" width="9.140625" style="5" customWidth="1"/>
    <col min="14851" max="14851" width="11.7109375" style="5" customWidth="1"/>
    <col min="14852" max="14852" width="20" style="5" customWidth="1"/>
    <col min="14853" max="14853" width="88.42578125" style="5" bestFit="1" customWidth="1"/>
    <col min="14854" max="14854" width="16.28515625" style="5" bestFit="1" customWidth="1"/>
    <col min="14855" max="14855" width="9.140625" style="5"/>
    <col min="14856" max="14856" width="11.85546875" style="5" bestFit="1" customWidth="1"/>
    <col min="14857" max="15104" width="9.140625" style="5"/>
    <col min="15105" max="15105" width="36.85546875" style="5" bestFit="1" customWidth="1"/>
    <col min="15106" max="15106" width="9.140625" style="5" customWidth="1"/>
    <col min="15107" max="15107" width="11.7109375" style="5" customWidth="1"/>
    <col min="15108" max="15108" width="20" style="5" customWidth="1"/>
    <col min="15109" max="15109" width="88.42578125" style="5" bestFit="1" customWidth="1"/>
    <col min="15110" max="15110" width="16.28515625" style="5" bestFit="1" customWidth="1"/>
    <col min="15111" max="15111" width="9.140625" style="5"/>
    <col min="15112" max="15112" width="11.85546875" style="5" bestFit="1" customWidth="1"/>
    <col min="15113" max="15360" width="9.140625" style="5"/>
    <col min="15361" max="15361" width="36.85546875" style="5" bestFit="1" customWidth="1"/>
    <col min="15362" max="15362" width="9.140625" style="5" customWidth="1"/>
    <col min="15363" max="15363" width="11.7109375" style="5" customWidth="1"/>
    <col min="15364" max="15364" width="20" style="5" customWidth="1"/>
    <col min="15365" max="15365" width="88.42578125" style="5" bestFit="1" customWidth="1"/>
    <col min="15366" max="15366" width="16.28515625" style="5" bestFit="1" customWidth="1"/>
    <col min="15367" max="15367" width="9.140625" style="5"/>
    <col min="15368" max="15368" width="11.85546875" style="5" bestFit="1" customWidth="1"/>
    <col min="15369" max="15616" width="9.140625" style="5"/>
    <col min="15617" max="15617" width="36.85546875" style="5" bestFit="1" customWidth="1"/>
    <col min="15618" max="15618" width="9.140625" style="5" customWidth="1"/>
    <col min="15619" max="15619" width="11.7109375" style="5" customWidth="1"/>
    <col min="15620" max="15620" width="20" style="5" customWidth="1"/>
    <col min="15621" max="15621" width="88.42578125" style="5" bestFit="1" customWidth="1"/>
    <col min="15622" max="15622" width="16.28515625" style="5" bestFit="1" customWidth="1"/>
    <col min="15623" max="15623" width="9.140625" style="5"/>
    <col min="15624" max="15624" width="11.85546875" style="5" bestFit="1" customWidth="1"/>
    <col min="15625" max="15872" width="9.140625" style="5"/>
    <col min="15873" max="15873" width="36.85546875" style="5" bestFit="1" customWidth="1"/>
    <col min="15874" max="15874" width="9.140625" style="5" customWidth="1"/>
    <col min="15875" max="15875" width="11.7109375" style="5" customWidth="1"/>
    <col min="15876" max="15876" width="20" style="5" customWidth="1"/>
    <col min="15877" max="15877" width="88.42578125" style="5" bestFit="1" customWidth="1"/>
    <col min="15878" max="15878" width="16.28515625" style="5" bestFit="1" customWidth="1"/>
    <col min="15879" max="15879" width="9.140625" style="5"/>
    <col min="15880" max="15880" width="11.85546875" style="5" bestFit="1" customWidth="1"/>
    <col min="15881" max="16128" width="9.140625" style="5"/>
    <col min="16129" max="16129" width="36.85546875" style="5" bestFit="1" customWidth="1"/>
    <col min="16130" max="16130" width="9.140625" style="5" customWidth="1"/>
    <col min="16131" max="16131" width="11.7109375" style="5" customWidth="1"/>
    <col min="16132" max="16132" width="20" style="5" customWidth="1"/>
    <col min="16133" max="16133" width="88.42578125" style="5" bestFit="1" customWidth="1"/>
    <col min="16134" max="16134" width="16.28515625" style="5" bestFit="1" customWidth="1"/>
    <col min="16135" max="16135" width="9.140625" style="5"/>
    <col min="16136" max="16136" width="11.85546875" style="5" bestFit="1" customWidth="1"/>
    <col min="16137" max="16384" width="9.140625" style="5"/>
  </cols>
  <sheetData>
    <row r="1" spans="1:8" ht="31.5" customHeight="1" thickBot="1" x14ac:dyDescent="0.3">
      <c r="A1" s="243" t="s">
        <v>1631</v>
      </c>
      <c r="B1" s="244" t="s">
        <v>816</v>
      </c>
      <c r="C1" s="1053" t="s">
        <v>3</v>
      </c>
      <c r="D1" s="244" t="s">
        <v>5</v>
      </c>
      <c r="E1" s="245" t="s">
        <v>1632</v>
      </c>
      <c r="F1" s="1" t="s">
        <v>7</v>
      </c>
      <c r="G1" s="246" t="s">
        <v>1633</v>
      </c>
      <c r="H1" s="247" t="s">
        <v>6</v>
      </c>
    </row>
    <row r="2" spans="1:8" ht="21.75" thickBot="1" x14ac:dyDescent="0.3">
      <c r="A2" s="1039" t="s">
        <v>1634</v>
      </c>
      <c r="B2" s="1040"/>
      <c r="C2" s="1040"/>
      <c r="D2" s="1040"/>
      <c r="E2" s="1040"/>
      <c r="F2" s="1040"/>
      <c r="G2" s="1040"/>
      <c r="H2" s="1041"/>
    </row>
    <row r="3" spans="1:8" ht="18.75" customHeight="1" x14ac:dyDescent="0.25">
      <c r="A3" s="439" t="s">
        <v>1636</v>
      </c>
      <c r="B3" s="440">
        <v>1</v>
      </c>
      <c r="C3" s="440">
        <f>manipulation+occult+cruac-IF(occult=0,3,0)</f>
        <v>-2</v>
      </c>
      <c r="D3" s="440" t="s">
        <v>12</v>
      </c>
      <c r="E3" s="440" t="s">
        <v>1637</v>
      </c>
      <c r="F3" s="440" t="s">
        <v>63</v>
      </c>
      <c r="G3" s="440">
        <v>93</v>
      </c>
      <c r="H3" s="249" t="str">
        <f>IF(covenant1="Circle of the Crone", "Local", "Unavailable")</f>
        <v>Unavailable</v>
      </c>
    </row>
    <row r="4" spans="1:8" ht="18.75" customHeight="1" x14ac:dyDescent="0.25">
      <c r="A4" s="442" t="s">
        <v>1638</v>
      </c>
      <c r="B4" s="443">
        <v>1</v>
      </c>
      <c r="C4" s="443">
        <f>manipulation+occult+cruac-IF(occult=0,3,0)</f>
        <v>-2</v>
      </c>
      <c r="D4" s="443" t="s">
        <v>12</v>
      </c>
      <c r="E4" s="443" t="s">
        <v>1639</v>
      </c>
      <c r="F4" s="443" t="s">
        <v>1640</v>
      </c>
      <c r="G4" s="443">
        <v>84</v>
      </c>
      <c r="H4" s="250" t="str">
        <f>IF(covenant1="Circle of the Crone", "Local", "Unavailable")</f>
        <v>Unavailable</v>
      </c>
    </row>
    <row r="5" spans="1:8" ht="18.75" customHeight="1" x14ac:dyDescent="0.25">
      <c r="A5" s="442" t="s">
        <v>1641</v>
      </c>
      <c r="B5" s="443">
        <v>1</v>
      </c>
      <c r="C5" s="443">
        <f>manipulation+occult+cruac-IF(occult=0,3,0)</f>
        <v>-2</v>
      </c>
      <c r="D5" s="443" t="s">
        <v>12</v>
      </c>
      <c r="E5" s="443" t="s">
        <v>1642</v>
      </c>
      <c r="F5" s="443" t="s">
        <v>1643</v>
      </c>
      <c r="G5" s="443">
        <v>204</v>
      </c>
      <c r="H5" s="250" t="str">
        <f>IF(covenant1="Circle of the Crone", "Local", "Unavailable")</f>
        <v>Unavailable</v>
      </c>
    </row>
    <row r="6" spans="1:8" ht="18.75" customHeight="1" x14ac:dyDescent="0.25">
      <c r="A6" s="442" t="s">
        <v>1644</v>
      </c>
      <c r="B6" s="443">
        <v>1</v>
      </c>
      <c r="C6" s="443">
        <f>manipulation+occult+cruac-IF(occult=0,3,0)</f>
        <v>-2</v>
      </c>
      <c r="D6" s="443" t="s">
        <v>12</v>
      </c>
      <c r="E6" s="443" t="s">
        <v>1645</v>
      </c>
      <c r="F6" s="443" t="s">
        <v>1643</v>
      </c>
      <c r="G6" s="443">
        <v>204</v>
      </c>
      <c r="H6" s="250" t="str">
        <f>IF(covenant1="Circle of the Crone", "local", "Unavailable")</f>
        <v>Unavailable</v>
      </c>
    </row>
    <row r="7" spans="1:8" ht="18.75" customHeight="1" x14ac:dyDescent="0.25">
      <c r="A7" s="442" t="s">
        <v>1646</v>
      </c>
      <c r="B7" s="443">
        <v>1</v>
      </c>
      <c r="C7" s="443">
        <f>manipulation+occult+cruac-IF(occult=0,3,0)</f>
        <v>-2</v>
      </c>
      <c r="D7" s="443" t="s">
        <v>12</v>
      </c>
      <c r="E7" s="443" t="s">
        <v>1647</v>
      </c>
      <c r="F7" s="443" t="s">
        <v>1643</v>
      </c>
      <c r="G7" s="443">
        <v>204</v>
      </c>
      <c r="H7" s="250" t="str">
        <f>IF(covenant1="Circle of the Crone", "Local", "Unavailable")</f>
        <v>Unavailable</v>
      </c>
    </row>
    <row r="8" spans="1:8" ht="18.75" customHeight="1" x14ac:dyDescent="0.25">
      <c r="A8" s="442" t="s">
        <v>1648</v>
      </c>
      <c r="B8" s="443">
        <v>1</v>
      </c>
      <c r="C8" s="443">
        <f>manipulation+occult+cruac-IF(occult=0,3,0)</f>
        <v>-2</v>
      </c>
      <c r="D8" s="443" t="s">
        <v>41</v>
      </c>
      <c r="E8" s="443" t="s">
        <v>1649</v>
      </c>
      <c r="F8" s="443" t="s">
        <v>1650</v>
      </c>
      <c r="G8" s="443">
        <v>143</v>
      </c>
      <c r="H8" s="250" t="str">
        <f>IF(covenant1="Circle of the Crone", "Local", "Unavailable")</f>
        <v>Unavailable</v>
      </c>
    </row>
    <row r="9" spans="1:8" ht="18.75" customHeight="1" x14ac:dyDescent="0.25">
      <c r="A9" s="442" t="s">
        <v>1651</v>
      </c>
      <c r="B9" s="443">
        <v>1</v>
      </c>
      <c r="C9" s="443">
        <f>manipulation+occult+cruac-IF(occult=0,3,0)</f>
        <v>-2</v>
      </c>
      <c r="D9" s="443" t="s">
        <v>319</v>
      </c>
      <c r="E9" s="443" t="s">
        <v>1652</v>
      </c>
      <c r="F9" s="443" t="s">
        <v>1643</v>
      </c>
      <c r="G9" s="443">
        <v>205</v>
      </c>
      <c r="H9" s="250" t="str">
        <f>IF(covenant1="Circle of the Crone", "local", "Unavailable")</f>
        <v>Unavailable</v>
      </c>
    </row>
    <row r="10" spans="1:8" ht="18.75" customHeight="1" x14ac:dyDescent="0.25">
      <c r="A10" s="442" t="s">
        <v>1653</v>
      </c>
      <c r="B10" s="443">
        <v>1</v>
      </c>
      <c r="C10" s="443">
        <f>manipulation+occult+cruac-IF(occult=0,3,0)</f>
        <v>-2</v>
      </c>
      <c r="D10" s="443" t="s">
        <v>58</v>
      </c>
      <c r="E10" s="443" t="s">
        <v>1654</v>
      </c>
      <c r="F10" s="443" t="s">
        <v>1650</v>
      </c>
      <c r="G10" s="443">
        <v>143</v>
      </c>
      <c r="H10" s="250" t="str">
        <f>IF(covenant1="Circle of the Crone", "Local", "Unavailable")</f>
        <v>Unavailable</v>
      </c>
    </row>
    <row r="11" spans="1:8" ht="18.75" customHeight="1" x14ac:dyDescent="0.25">
      <c r="A11" s="442" t="s">
        <v>1655</v>
      </c>
      <c r="B11" s="443">
        <v>1</v>
      </c>
      <c r="C11" s="443">
        <f>manipulation+occult+cruac-IF(occult=0,3,0)</f>
        <v>-2</v>
      </c>
      <c r="D11" s="443" t="s">
        <v>12</v>
      </c>
      <c r="E11" s="443" t="s">
        <v>1656</v>
      </c>
      <c r="F11" s="443" t="s">
        <v>1643</v>
      </c>
      <c r="G11" s="443">
        <v>204</v>
      </c>
      <c r="H11" s="250" t="str">
        <f>IF(covenant1="Circle of the Crone", "Local", "Unavailable")</f>
        <v>Unavailable</v>
      </c>
    </row>
    <row r="12" spans="1:8" ht="18.75" customHeight="1" thickBot="1" x14ac:dyDescent="0.3">
      <c r="A12" s="432" t="s">
        <v>1657</v>
      </c>
      <c r="B12" s="433">
        <v>1</v>
      </c>
      <c r="C12" s="433">
        <f>manipulation+occult+cruac-IF(occult=0,3,0)</f>
        <v>-2</v>
      </c>
      <c r="D12" s="433" t="s">
        <v>319</v>
      </c>
      <c r="E12" s="433" t="s">
        <v>1658</v>
      </c>
      <c r="F12" s="433" t="s">
        <v>1643</v>
      </c>
      <c r="G12" s="433">
        <v>204</v>
      </c>
      <c r="H12" s="251" t="str">
        <f>IF(covenant1="Circle of the Crone", "Local", "Unavailable")</f>
        <v>Unavailable</v>
      </c>
    </row>
    <row r="13" spans="1:8" ht="18.75" customHeight="1" x14ac:dyDescent="0.25">
      <c r="A13" s="439" t="s">
        <v>1659</v>
      </c>
      <c r="B13" s="440">
        <v>2</v>
      </c>
      <c r="C13" s="440">
        <f>manipulation+occult+cruac-IF(occult=0,3,0)</f>
        <v>-2</v>
      </c>
      <c r="D13" s="440" t="s">
        <v>1660</v>
      </c>
      <c r="E13" s="440" t="s">
        <v>1661</v>
      </c>
      <c r="F13" s="440" t="s">
        <v>1640</v>
      </c>
      <c r="G13" s="440">
        <v>84</v>
      </c>
      <c r="H13" s="249" t="str">
        <f>IF(covenant1="Circle of the Crone", "Local", "Unavailable")</f>
        <v>Unavailable</v>
      </c>
    </row>
    <row r="14" spans="1:8" ht="18.75" customHeight="1" x14ac:dyDescent="0.25">
      <c r="A14" s="442" t="s">
        <v>1662</v>
      </c>
      <c r="B14" s="443">
        <v>2</v>
      </c>
      <c r="C14" s="443">
        <f>manipulation+occult+cruac-IF(occult=0,3,0)</f>
        <v>-2</v>
      </c>
      <c r="D14" s="443" t="s">
        <v>58</v>
      </c>
      <c r="E14" s="443" t="s">
        <v>1663</v>
      </c>
      <c r="F14" s="443" t="s">
        <v>1650</v>
      </c>
      <c r="G14" s="443">
        <v>143</v>
      </c>
      <c r="H14" s="250" t="str">
        <f>IF(covenant1="Circle of the Crone", "Local", "Unavailable")</f>
        <v>Unavailable</v>
      </c>
    </row>
    <row r="15" spans="1:8" ht="18.75" customHeight="1" x14ac:dyDescent="0.25">
      <c r="A15" s="442" t="s">
        <v>1664</v>
      </c>
      <c r="B15" s="443">
        <v>2</v>
      </c>
      <c r="C15" s="443">
        <f>manipulation+occult+cruac-IF(occult=0,3,0)</f>
        <v>-2</v>
      </c>
      <c r="D15" s="443" t="s">
        <v>12</v>
      </c>
      <c r="E15" s="443" t="s">
        <v>1665</v>
      </c>
      <c r="F15" s="443" t="s">
        <v>1643</v>
      </c>
      <c r="G15" s="443">
        <v>153</v>
      </c>
      <c r="H15" s="250" t="str">
        <f>IF(covenant1="Circle of the Crone", "Local", "Unavailable")</f>
        <v>Unavailable</v>
      </c>
    </row>
    <row r="16" spans="1:8" ht="18.75" customHeight="1" x14ac:dyDescent="0.25">
      <c r="A16" s="442" t="s">
        <v>1666</v>
      </c>
      <c r="B16" s="443">
        <v>2</v>
      </c>
      <c r="C16" s="443">
        <f>manipulation+occult+cruac-IF(occult=0,3,0)</f>
        <v>-2</v>
      </c>
      <c r="D16" s="443" t="s">
        <v>12</v>
      </c>
      <c r="E16" s="443" t="s">
        <v>1667</v>
      </c>
      <c r="F16" s="443" t="s">
        <v>1643</v>
      </c>
      <c r="G16" s="443">
        <v>205</v>
      </c>
      <c r="H16" s="250" t="str">
        <f>IF(covenant1="Circle of the Crone", "Local", "Unavailable")</f>
        <v>Unavailable</v>
      </c>
    </row>
    <row r="17" spans="1:8" ht="18.75" customHeight="1" x14ac:dyDescent="0.25">
      <c r="A17" s="442" t="s">
        <v>1668</v>
      </c>
      <c r="B17" s="443">
        <v>2</v>
      </c>
      <c r="C17" s="443">
        <f>manipulation+occult+cruac-IF(occult=0,3,0)</f>
        <v>-2</v>
      </c>
      <c r="D17" s="443" t="s">
        <v>12</v>
      </c>
      <c r="E17" s="443" t="s">
        <v>1669</v>
      </c>
      <c r="F17" s="443" t="s">
        <v>1643</v>
      </c>
      <c r="G17" s="443">
        <v>205</v>
      </c>
      <c r="H17" s="250" t="str">
        <f>IF(covenant1="Circle of the Crone", "Local", "Unavailable")</f>
        <v>Unavailable</v>
      </c>
    </row>
    <row r="18" spans="1:8" ht="18.75" customHeight="1" x14ac:dyDescent="0.25">
      <c r="A18" s="442" t="s">
        <v>1670</v>
      </c>
      <c r="B18" s="443">
        <v>2</v>
      </c>
      <c r="C18" s="443">
        <f>manipulation+occult+cruac-IF(occult=0,3,0)</f>
        <v>-2</v>
      </c>
      <c r="D18" s="443" t="s">
        <v>12</v>
      </c>
      <c r="E18" s="443" t="s">
        <v>1671</v>
      </c>
      <c r="F18" s="443" t="s">
        <v>1643</v>
      </c>
      <c r="G18" s="443">
        <v>206</v>
      </c>
      <c r="H18" s="250" t="str">
        <f>IF(covenant1="Circle of the Crone", "Local", "Unavailable")</f>
        <v>Unavailable</v>
      </c>
    </row>
    <row r="19" spans="1:8" ht="18.75" customHeight="1" x14ac:dyDescent="0.25">
      <c r="A19" s="442" t="s">
        <v>1672</v>
      </c>
      <c r="B19" s="443">
        <v>2</v>
      </c>
      <c r="C19" s="443">
        <f>manipulation+occult+cruac-IF(occult=0,3,0)</f>
        <v>-2</v>
      </c>
      <c r="D19" s="443" t="s">
        <v>12</v>
      </c>
      <c r="E19" s="443" t="s">
        <v>1673</v>
      </c>
      <c r="F19" s="443" t="s">
        <v>1643</v>
      </c>
      <c r="G19" s="443">
        <v>206</v>
      </c>
      <c r="H19" s="250" t="str">
        <f>IF(covenant1="Circle of the Crone", "Local", "Unavailable")</f>
        <v>Unavailable</v>
      </c>
    </row>
    <row r="20" spans="1:8" ht="18.75" customHeight="1" x14ac:dyDescent="0.25">
      <c r="A20" s="442" t="s">
        <v>1674</v>
      </c>
      <c r="B20" s="443">
        <v>2</v>
      </c>
      <c r="C20" s="443">
        <f>manipulation+occult+cruac-IF(occult=0,3,0)</f>
        <v>-2</v>
      </c>
      <c r="D20" s="443" t="s">
        <v>12</v>
      </c>
      <c r="E20" s="443" t="s">
        <v>1675</v>
      </c>
      <c r="F20" s="443" t="s">
        <v>63</v>
      </c>
      <c r="G20" s="443">
        <v>93</v>
      </c>
      <c r="H20" s="250" t="str">
        <f>IF(covenant1="Circle of the Crone", "local", "Unavailable")</f>
        <v>Unavailable</v>
      </c>
    </row>
    <row r="21" spans="1:8" ht="18.75" customHeight="1" x14ac:dyDescent="0.25">
      <c r="A21" s="442" t="s">
        <v>1676</v>
      </c>
      <c r="B21" s="443">
        <v>2</v>
      </c>
      <c r="C21" s="443">
        <f>manipulation+occult+cruac-IF(occult=0,3,0)</f>
        <v>-2</v>
      </c>
      <c r="D21" s="443" t="s">
        <v>12</v>
      </c>
      <c r="E21" s="443" t="s">
        <v>1677</v>
      </c>
      <c r="F21" s="443" t="s">
        <v>1650</v>
      </c>
      <c r="G21" s="443">
        <v>143</v>
      </c>
      <c r="H21" s="250" t="str">
        <f>IF(covenant1="Circle of the Crone", "Local", "Unavailable")</f>
        <v>Unavailable</v>
      </c>
    </row>
    <row r="22" spans="1:8" ht="18.75" customHeight="1" thickBot="1" x14ac:dyDescent="0.3">
      <c r="A22" s="432" t="s">
        <v>1678</v>
      </c>
      <c r="B22" s="433">
        <v>2</v>
      </c>
      <c r="C22" s="433">
        <f>manipulation+occult+cruac-IF(occult=0,3,0)</f>
        <v>-2</v>
      </c>
      <c r="D22" s="433" t="s">
        <v>12</v>
      </c>
      <c r="E22" s="433" t="s">
        <v>1679</v>
      </c>
      <c r="F22" s="433" t="s">
        <v>1643</v>
      </c>
      <c r="G22" s="433">
        <v>206</v>
      </c>
      <c r="H22" s="251" t="str">
        <f>IF(covenant1="Circle of the Crone", "local", "Unavailable")</f>
        <v>Unavailable</v>
      </c>
    </row>
    <row r="23" spans="1:8" ht="18.75" customHeight="1" x14ac:dyDescent="0.25">
      <c r="A23" s="439" t="s">
        <v>1680</v>
      </c>
      <c r="B23" s="440">
        <v>3</v>
      </c>
      <c r="C23" s="440">
        <f t="shared" ref="C5:C25" si="0">manipulation+occult+cruac-IF(occult=0,3,0)</f>
        <v>-2</v>
      </c>
      <c r="D23" s="440" t="s">
        <v>12</v>
      </c>
      <c r="E23" s="440" t="s">
        <v>1681</v>
      </c>
      <c r="F23" s="440" t="s">
        <v>1643</v>
      </c>
      <c r="G23" s="440">
        <v>206</v>
      </c>
      <c r="H23" s="249" t="str">
        <f>IF(covenant1="Circle of the Crone", "Local", "Unavailable")</f>
        <v>Unavailable</v>
      </c>
    </row>
    <row r="24" spans="1:8" ht="18.75" customHeight="1" x14ac:dyDescent="0.25">
      <c r="A24" s="442" t="s">
        <v>1682</v>
      </c>
      <c r="B24" s="443">
        <v>3</v>
      </c>
      <c r="C24" s="443">
        <f t="shared" si="0"/>
        <v>-2</v>
      </c>
      <c r="D24" s="443" t="s">
        <v>12</v>
      </c>
      <c r="E24" s="443" t="s">
        <v>1683</v>
      </c>
      <c r="F24" s="443" t="s">
        <v>1650</v>
      </c>
      <c r="G24" s="443">
        <v>144</v>
      </c>
      <c r="H24" s="250" t="str">
        <f>IF(covenant1="Circle of the Crone", "Local", "Unavailable")</f>
        <v>Unavailable</v>
      </c>
    </row>
    <row r="25" spans="1:8" ht="18.75" customHeight="1" x14ac:dyDescent="0.25">
      <c r="A25" s="599" t="s">
        <v>2316</v>
      </c>
      <c r="B25" s="600">
        <v>3</v>
      </c>
      <c r="C25" s="600">
        <f t="shared" si="0"/>
        <v>-2</v>
      </c>
      <c r="D25" s="600" t="s">
        <v>12</v>
      </c>
      <c r="E25" s="1043" t="s">
        <v>2317</v>
      </c>
      <c r="F25" s="600" t="s">
        <v>1643</v>
      </c>
      <c r="G25" s="600">
        <v>206</v>
      </c>
      <c r="H25" s="250" t="str">
        <f>IF(covenant1="Circle of the Crone", "Local", "Unavailable")</f>
        <v>Unavailable</v>
      </c>
    </row>
    <row r="26" spans="1:8" ht="18.75" customHeight="1" x14ac:dyDescent="0.25">
      <c r="A26" s="442" t="s">
        <v>1684</v>
      </c>
      <c r="B26" s="443">
        <v>3</v>
      </c>
      <c r="C26" s="443">
        <f t="shared" ref="C26:C48" si="1">manipulation+occult+cruac-IF(occult=0,3,0)</f>
        <v>-2</v>
      </c>
      <c r="D26" s="443" t="s">
        <v>12</v>
      </c>
      <c r="E26" s="443" t="s">
        <v>1685</v>
      </c>
      <c r="F26" s="443" t="s">
        <v>1640</v>
      </c>
      <c r="G26" s="443">
        <v>85</v>
      </c>
      <c r="H26" s="250" t="str">
        <f>IF(covenant1="Circle of the Crone", "Local", "Unavailable")</f>
        <v>Unavailable</v>
      </c>
    </row>
    <row r="27" spans="1:8" ht="18.75" customHeight="1" x14ac:dyDescent="0.25">
      <c r="A27" s="442" t="s">
        <v>1686</v>
      </c>
      <c r="B27" s="443">
        <v>3</v>
      </c>
      <c r="C27" s="443">
        <f t="shared" si="1"/>
        <v>-2</v>
      </c>
      <c r="D27" s="443" t="s">
        <v>12</v>
      </c>
      <c r="E27" s="443" t="s">
        <v>1687</v>
      </c>
      <c r="F27" s="443" t="s">
        <v>1643</v>
      </c>
      <c r="G27" s="443">
        <v>207</v>
      </c>
      <c r="H27" s="250" t="str">
        <f>IF(covenant1="Circle of the Crone", "local", "Unavailable")</f>
        <v>Unavailable</v>
      </c>
    </row>
    <row r="28" spans="1:8" ht="18.75" customHeight="1" x14ac:dyDescent="0.25">
      <c r="A28" s="442" t="s">
        <v>1688</v>
      </c>
      <c r="B28" s="443">
        <v>3</v>
      </c>
      <c r="C28" s="443">
        <f t="shared" si="1"/>
        <v>-2</v>
      </c>
      <c r="D28" s="443" t="s">
        <v>12</v>
      </c>
      <c r="E28" s="443" t="s">
        <v>1689</v>
      </c>
      <c r="F28" s="443" t="s">
        <v>63</v>
      </c>
      <c r="G28" s="443">
        <v>93</v>
      </c>
      <c r="H28" s="250" t="str">
        <f>IF(covenant1="Circle of the Crone", "Local", "Unavailable")</f>
        <v>Unavailable</v>
      </c>
    </row>
    <row r="29" spans="1:8" ht="18.75" customHeight="1" x14ac:dyDescent="0.25">
      <c r="A29" s="442" t="s">
        <v>1690</v>
      </c>
      <c r="B29" s="443">
        <v>3</v>
      </c>
      <c r="C29" s="443">
        <f t="shared" si="1"/>
        <v>-2</v>
      </c>
      <c r="D29" s="443" t="s">
        <v>12</v>
      </c>
      <c r="E29" s="443" t="s">
        <v>1691</v>
      </c>
      <c r="F29" s="443" t="s">
        <v>1643</v>
      </c>
      <c r="G29" s="443">
        <v>207</v>
      </c>
      <c r="H29" s="250" t="str">
        <f>IF(covenant1="Circle of the Crone", "local", "Unavailable")</f>
        <v>Unavailable</v>
      </c>
    </row>
    <row r="30" spans="1:8" ht="18.75" customHeight="1" x14ac:dyDescent="0.25">
      <c r="A30" s="442" t="s">
        <v>1692</v>
      </c>
      <c r="B30" s="443">
        <v>3</v>
      </c>
      <c r="C30" s="600">
        <f t="shared" si="1"/>
        <v>-2</v>
      </c>
      <c r="D30" s="443" t="s">
        <v>12</v>
      </c>
      <c r="E30" s="443" t="s">
        <v>1693</v>
      </c>
      <c r="F30" s="443" t="s">
        <v>1643</v>
      </c>
      <c r="G30" s="443">
        <v>207</v>
      </c>
      <c r="H30" s="250" t="str">
        <f>IF(covenant1="Circle of the Crone", "Local", "Unavailable")</f>
        <v>Unavailable</v>
      </c>
    </row>
    <row r="31" spans="1:8" ht="18.75" customHeight="1" x14ac:dyDescent="0.25">
      <c r="A31" s="1044" t="s">
        <v>2318</v>
      </c>
      <c r="B31" s="1045">
        <v>3</v>
      </c>
      <c r="C31" s="600">
        <f t="shared" si="1"/>
        <v>-2</v>
      </c>
      <c r="D31" s="600" t="s">
        <v>12</v>
      </c>
      <c r="E31" s="1045" t="s">
        <v>2319</v>
      </c>
      <c r="F31" s="1045" t="s">
        <v>1082</v>
      </c>
      <c r="G31" s="1045">
        <v>116</v>
      </c>
      <c r="H31" s="250" t="str">
        <f>IF(covenant1="Circle of the Crone", "Local", "Unavailable")</f>
        <v>Unavailable</v>
      </c>
    </row>
    <row r="32" spans="1:8" ht="18.75" customHeight="1" thickBot="1" x14ac:dyDescent="0.3">
      <c r="A32" s="432" t="s">
        <v>1694</v>
      </c>
      <c r="B32" s="433">
        <v>3</v>
      </c>
      <c r="C32" s="433">
        <f t="shared" si="1"/>
        <v>-2</v>
      </c>
      <c r="D32" s="433" t="s">
        <v>12</v>
      </c>
      <c r="E32" s="433" t="s">
        <v>1695</v>
      </c>
      <c r="F32" s="433" t="s">
        <v>1650</v>
      </c>
      <c r="G32" s="433">
        <v>144</v>
      </c>
      <c r="H32" s="251" t="str">
        <f>IF(covenant1="Circle of the Crone", "Local", "Unavailable")</f>
        <v>Unavailable</v>
      </c>
    </row>
    <row r="33" spans="1:11" ht="18.75" customHeight="1" x14ac:dyDescent="0.25">
      <c r="A33" s="439" t="s">
        <v>1696</v>
      </c>
      <c r="B33" s="440">
        <v>4</v>
      </c>
      <c r="C33" s="440">
        <f t="shared" si="1"/>
        <v>-2</v>
      </c>
      <c r="D33" s="440" t="s">
        <v>12</v>
      </c>
      <c r="E33" s="440" t="s">
        <v>1697</v>
      </c>
      <c r="F33" s="440" t="s">
        <v>63</v>
      </c>
      <c r="G33" s="440">
        <v>93</v>
      </c>
      <c r="H33" s="249" t="str">
        <f>IF(covenant1="Circle of the Crone", "Local", "Unavailable")</f>
        <v>Unavailable</v>
      </c>
    </row>
    <row r="34" spans="1:11" ht="18.75" customHeight="1" x14ac:dyDescent="0.25">
      <c r="A34" s="442" t="s">
        <v>1698</v>
      </c>
      <c r="B34" s="443">
        <v>4</v>
      </c>
      <c r="C34" s="443">
        <f t="shared" si="1"/>
        <v>-2</v>
      </c>
      <c r="D34" s="443" t="s">
        <v>41</v>
      </c>
      <c r="E34" s="443" t="s">
        <v>1699</v>
      </c>
      <c r="F34" s="443" t="s">
        <v>1650</v>
      </c>
      <c r="G34" s="443">
        <v>144</v>
      </c>
      <c r="H34" s="250" t="str">
        <f>IF(covenant1="Circle of the Crone", "Local", "Unavailable")</f>
        <v>Unavailable</v>
      </c>
    </row>
    <row r="35" spans="1:11" ht="18.75" customHeight="1" x14ac:dyDescent="0.25">
      <c r="A35" s="442" t="s">
        <v>1700</v>
      </c>
      <c r="B35" s="443">
        <v>4</v>
      </c>
      <c r="C35" s="443">
        <f t="shared" si="1"/>
        <v>-2</v>
      </c>
      <c r="D35" s="443" t="s">
        <v>12</v>
      </c>
      <c r="E35" s="443" t="s">
        <v>1701</v>
      </c>
      <c r="F35" s="443" t="s">
        <v>1643</v>
      </c>
      <c r="G35" s="443">
        <v>208</v>
      </c>
      <c r="H35" s="250" t="str">
        <f>IF(covenant1="Circle of the Crone", "Local", "Unavailable")</f>
        <v>Unavailable</v>
      </c>
    </row>
    <row r="36" spans="1:11" ht="18.75" customHeight="1" x14ac:dyDescent="0.25">
      <c r="A36" s="442" t="s">
        <v>1702</v>
      </c>
      <c r="B36" s="443">
        <v>4</v>
      </c>
      <c r="C36" s="443">
        <f t="shared" si="1"/>
        <v>-2</v>
      </c>
      <c r="D36" s="443" t="s">
        <v>12</v>
      </c>
      <c r="E36" s="443" t="s">
        <v>1703</v>
      </c>
      <c r="F36" s="443" t="s">
        <v>1643</v>
      </c>
      <c r="G36" s="443">
        <v>208</v>
      </c>
      <c r="H36" s="250" t="str">
        <f>IF(covenant1="Circle of the Crone", "local", "Unavailable")</f>
        <v>Unavailable</v>
      </c>
    </row>
    <row r="37" spans="1:11" ht="18.75" customHeight="1" x14ac:dyDescent="0.25">
      <c r="A37" s="442" t="s">
        <v>1704</v>
      </c>
      <c r="B37" s="443">
        <v>4</v>
      </c>
      <c r="C37" s="443">
        <f t="shared" si="1"/>
        <v>-2</v>
      </c>
      <c r="D37" s="443" t="s">
        <v>58</v>
      </c>
      <c r="E37" s="443" t="s">
        <v>1705</v>
      </c>
      <c r="F37" s="443" t="s">
        <v>1643</v>
      </c>
      <c r="G37" s="443">
        <v>209</v>
      </c>
      <c r="H37" s="250" t="str">
        <f>IF(covenant1="Circle of the Crone", "local", "Unavailable")</f>
        <v>Unavailable</v>
      </c>
    </row>
    <row r="38" spans="1:11" ht="18.75" customHeight="1" x14ac:dyDescent="0.25">
      <c r="A38" s="442" t="s">
        <v>1706</v>
      </c>
      <c r="B38" s="443">
        <v>4</v>
      </c>
      <c r="C38" s="443">
        <f t="shared" si="1"/>
        <v>-2</v>
      </c>
      <c r="D38" s="443" t="s">
        <v>12</v>
      </c>
      <c r="E38" s="443" t="s">
        <v>1707</v>
      </c>
      <c r="F38" s="443" t="s">
        <v>1643</v>
      </c>
      <c r="G38" s="443">
        <v>209</v>
      </c>
      <c r="H38" s="250" t="str">
        <f>IF(covenant1="Circle of the Crone", "Local", "Unavailable")</f>
        <v>Unavailable</v>
      </c>
    </row>
    <row r="39" spans="1:11" ht="18.75" customHeight="1" thickBot="1" x14ac:dyDescent="0.3">
      <c r="A39" s="432" t="s">
        <v>1708</v>
      </c>
      <c r="B39" s="433">
        <v>4</v>
      </c>
      <c r="C39" s="433">
        <f t="shared" si="1"/>
        <v>-2</v>
      </c>
      <c r="D39" s="433" t="s">
        <v>12</v>
      </c>
      <c r="E39" s="433" t="s">
        <v>1709</v>
      </c>
      <c r="F39" s="433" t="s">
        <v>1650</v>
      </c>
      <c r="G39" s="433">
        <v>145</v>
      </c>
      <c r="H39" s="251" t="str">
        <f>IF(covenant1="Circle of the Crone", "Local", "Unavailable")</f>
        <v>Unavailable</v>
      </c>
    </row>
    <row r="40" spans="1:11" ht="18.75" customHeight="1" x14ac:dyDescent="0.25">
      <c r="A40" s="439" t="s">
        <v>1710</v>
      </c>
      <c r="B40" s="440">
        <v>5</v>
      </c>
      <c r="C40" s="440">
        <f>manipulation+occult+cruac-IF(occult=0,3,0)</f>
        <v>-2</v>
      </c>
      <c r="D40" s="440" t="s">
        <v>12</v>
      </c>
      <c r="E40" s="440" t="s">
        <v>1711</v>
      </c>
      <c r="F40" s="440" t="s">
        <v>1643</v>
      </c>
      <c r="G40" s="440">
        <v>209</v>
      </c>
      <c r="H40" s="249" t="str">
        <f>IF(covenant1="Circle of the Crone", "local", "Unavailable")</f>
        <v>Unavailable</v>
      </c>
      <c r="K40" s="4"/>
    </row>
    <row r="41" spans="1:11" ht="18.75" customHeight="1" x14ac:dyDescent="0.25">
      <c r="A41" s="442" t="s">
        <v>1720</v>
      </c>
      <c r="B41" s="443">
        <v>5</v>
      </c>
      <c r="C41" s="443">
        <f>manipulation+occult+cruac-IF(occult=0,3,0)</f>
        <v>-2</v>
      </c>
      <c r="D41" s="443" t="s">
        <v>12</v>
      </c>
      <c r="E41" s="443" t="s">
        <v>1721</v>
      </c>
      <c r="F41" s="443" t="s">
        <v>1643</v>
      </c>
      <c r="G41" s="443">
        <v>210</v>
      </c>
      <c r="H41" s="250" t="str">
        <f>IF(covenant1="Circle of the Crone", "Local", "Unavailable")</f>
        <v>Unavailable</v>
      </c>
      <c r="K41" s="4"/>
    </row>
    <row r="42" spans="1:11" ht="18.75" customHeight="1" x14ac:dyDescent="0.25">
      <c r="A42" s="442" t="s">
        <v>1712</v>
      </c>
      <c r="B42" s="443">
        <v>5</v>
      </c>
      <c r="C42" s="443">
        <f>manipulation+occult+cruac-IF(occult=0,3,0)</f>
        <v>-2</v>
      </c>
      <c r="D42" s="443" t="s">
        <v>12</v>
      </c>
      <c r="E42" s="443" t="s">
        <v>1713</v>
      </c>
      <c r="F42" s="443" t="s">
        <v>1643</v>
      </c>
      <c r="G42" s="443">
        <v>210</v>
      </c>
      <c r="H42" s="250" t="str">
        <f>IF(covenant1="Circle of the Crone", "Local", "Unavailable")</f>
        <v>Unavailable</v>
      </c>
      <c r="K42" s="4"/>
    </row>
    <row r="43" spans="1:11" ht="18.75" customHeight="1" x14ac:dyDescent="0.25">
      <c r="A43" s="442" t="s">
        <v>1716</v>
      </c>
      <c r="B43" s="443">
        <v>5</v>
      </c>
      <c r="C43" s="443">
        <f>manipulation+occult+cruac-IF(occult=0,3,0)</f>
        <v>-2</v>
      </c>
      <c r="D43" s="443" t="s">
        <v>12</v>
      </c>
      <c r="E43" s="443" t="s">
        <v>1717</v>
      </c>
      <c r="F43" s="443" t="s">
        <v>1643</v>
      </c>
      <c r="G43" s="443">
        <v>210</v>
      </c>
      <c r="H43" s="250" t="str">
        <f>IF(covenant1="Circle of the Crone", "Local", "Unavailable")</f>
        <v>Unavailable</v>
      </c>
      <c r="K43" s="4"/>
    </row>
    <row r="44" spans="1:11" ht="18.75" customHeight="1" x14ac:dyDescent="0.25">
      <c r="A44" s="442" t="s">
        <v>1714</v>
      </c>
      <c r="B44" s="443">
        <v>5</v>
      </c>
      <c r="C44" s="443">
        <f>manipulation+occult+cruac-IF(occult=0,3,0)</f>
        <v>-2</v>
      </c>
      <c r="D44" s="443" t="s">
        <v>12</v>
      </c>
      <c r="E44" s="443" t="s">
        <v>1715</v>
      </c>
      <c r="F44" s="443" t="s">
        <v>1643</v>
      </c>
      <c r="G44" s="443">
        <v>210</v>
      </c>
      <c r="H44" s="250" t="str">
        <f>IF(covenant1="Circle of the Crone", "Local", "Unavailable")</f>
        <v>Unavailable</v>
      </c>
      <c r="K44" s="4"/>
    </row>
    <row r="45" spans="1:11" ht="18.75" customHeight="1" x14ac:dyDescent="0.25">
      <c r="A45" s="442" t="s">
        <v>1726</v>
      </c>
      <c r="B45" s="443">
        <v>5</v>
      </c>
      <c r="C45" s="443">
        <f>manipulation+occult+cruac-IF(occult=0,3,0)</f>
        <v>-2</v>
      </c>
      <c r="D45" s="443" t="s">
        <v>12</v>
      </c>
      <c r="E45" s="443" t="s">
        <v>1727</v>
      </c>
      <c r="F45" s="443" t="s">
        <v>1643</v>
      </c>
      <c r="G45" s="443">
        <v>211</v>
      </c>
      <c r="H45" s="250" t="str">
        <f>IF(covenant1="Circle of the Crone", "Local", "Unavailable")</f>
        <v>Unavailable</v>
      </c>
      <c r="K45" s="4"/>
    </row>
    <row r="46" spans="1:11" ht="18.75" customHeight="1" x14ac:dyDescent="0.25">
      <c r="A46" s="442" t="s">
        <v>1724</v>
      </c>
      <c r="B46" s="443">
        <v>5</v>
      </c>
      <c r="C46" s="443">
        <f>manipulation+occult+cruac-IF(occult=0,3,0)</f>
        <v>-2</v>
      </c>
      <c r="D46" s="443" t="s">
        <v>12</v>
      </c>
      <c r="E46" s="443" t="s">
        <v>1725</v>
      </c>
      <c r="F46" s="443" t="s">
        <v>1643</v>
      </c>
      <c r="G46" s="443">
        <v>211</v>
      </c>
      <c r="H46" s="250" t="str">
        <f>IF(covenant1="Circle of the Crone", "Local", "Unavailable")</f>
        <v>Unavailable</v>
      </c>
      <c r="K46" s="4"/>
    </row>
    <row r="47" spans="1:11" ht="18.75" customHeight="1" x14ac:dyDescent="0.25">
      <c r="A47" s="442" t="s">
        <v>1722</v>
      </c>
      <c r="B47" s="443">
        <v>5</v>
      </c>
      <c r="C47" s="443">
        <f>manipulation+occult+cruac-IF(occult=0,3,0)</f>
        <v>-2</v>
      </c>
      <c r="D47" s="443" t="s">
        <v>12</v>
      </c>
      <c r="E47" s="443" t="s">
        <v>1723</v>
      </c>
      <c r="F47" s="443" t="s">
        <v>1643</v>
      </c>
      <c r="G47" s="443">
        <v>210</v>
      </c>
      <c r="H47" s="250" t="str">
        <f>IF(covenant1="Circle of the Crone", "Local", "Unavailable")</f>
        <v>Unavailable</v>
      </c>
      <c r="K47" s="4"/>
    </row>
    <row r="48" spans="1:11" ht="18.75" customHeight="1" x14ac:dyDescent="0.25">
      <c r="A48" s="442" t="s">
        <v>1718</v>
      </c>
      <c r="B48" s="443">
        <v>5</v>
      </c>
      <c r="C48" s="443">
        <f>manipulation+occult+cruac-IF(occult=0,3,0)</f>
        <v>-2</v>
      </c>
      <c r="D48" s="443" t="s">
        <v>12</v>
      </c>
      <c r="E48" s="443" t="s">
        <v>1719</v>
      </c>
      <c r="F48" s="443" t="s">
        <v>1643</v>
      </c>
      <c r="G48" s="443">
        <v>210</v>
      </c>
      <c r="H48" s="250" t="str">
        <f>IF(covenant1="Circle of the Crone", "Local", "Unavailable")</f>
        <v>Unavailable</v>
      </c>
      <c r="K48" s="4"/>
    </row>
    <row r="49" spans="1:12" ht="18.75" customHeight="1" x14ac:dyDescent="0.25">
      <c r="A49" s="599" t="s">
        <v>2314</v>
      </c>
      <c r="B49" s="600">
        <v>5</v>
      </c>
      <c r="C49" s="600">
        <f>manipulation+occult+cruac-IF(occult=0,3,0)</f>
        <v>-2</v>
      </c>
      <c r="D49" s="600" t="s">
        <v>37</v>
      </c>
      <c r="E49" s="600" t="s">
        <v>2315</v>
      </c>
      <c r="F49" s="600" t="s">
        <v>1650</v>
      </c>
      <c r="G49" s="600">
        <v>145</v>
      </c>
      <c r="H49" s="250" t="str">
        <f>IF(covenant1="Circle of the Crone", "Local", "Unavailable")</f>
        <v>Unavailable</v>
      </c>
      <c r="K49" s="4"/>
    </row>
    <row r="50" spans="1:12" ht="18.75" customHeight="1" x14ac:dyDescent="0.25">
      <c r="A50" s="442" t="s">
        <v>1728</v>
      </c>
      <c r="B50" s="443">
        <v>5</v>
      </c>
      <c r="C50" s="443">
        <f>manipulation+occult+cruac-IF(occult=0,3,0)</f>
        <v>-2</v>
      </c>
      <c r="D50" s="443" t="s">
        <v>12</v>
      </c>
      <c r="E50" s="443" t="s">
        <v>1729</v>
      </c>
      <c r="F50" s="443" t="s">
        <v>1643</v>
      </c>
      <c r="G50" s="443">
        <v>211</v>
      </c>
      <c r="H50" s="250" t="str">
        <f>IF(covenant1="Circle of the Crone", "Local", "Unavailable")</f>
        <v>Unavailable</v>
      </c>
      <c r="K50" s="4"/>
    </row>
    <row r="51" spans="1:12" ht="19.5" customHeight="1" x14ac:dyDescent="0.25">
      <c r="A51" s="442" t="s">
        <v>1730</v>
      </c>
      <c r="B51" s="443">
        <v>5</v>
      </c>
      <c r="C51" s="443">
        <f>manipulation+occult+cruac-IF(occult=0,3,0)</f>
        <v>-2</v>
      </c>
      <c r="D51" s="443" t="s">
        <v>41</v>
      </c>
      <c r="E51" s="443" t="s">
        <v>1731</v>
      </c>
      <c r="F51" s="443" t="s">
        <v>63</v>
      </c>
      <c r="G51" s="443">
        <v>93</v>
      </c>
      <c r="H51" s="250" t="str">
        <f>IF(covenant1="Circle of the Crone", "Local", "Unavailable")</f>
        <v>Unavailable</v>
      </c>
      <c r="K51" s="4"/>
    </row>
    <row r="52" spans="1:12" ht="19.5" customHeight="1" x14ac:dyDescent="0.25">
      <c r="A52" s="442" t="s">
        <v>1732</v>
      </c>
      <c r="B52" s="443">
        <v>5</v>
      </c>
      <c r="C52" s="443">
        <f>manipulation+occult+cruac-IF(occult=0,3,0)</f>
        <v>-2</v>
      </c>
      <c r="D52" s="443" t="s">
        <v>12</v>
      </c>
      <c r="E52" s="443" t="s">
        <v>1733</v>
      </c>
      <c r="F52" s="443" t="s">
        <v>1650</v>
      </c>
      <c r="G52" s="443">
        <v>145</v>
      </c>
      <c r="H52" s="250" t="str">
        <f>IF(covenant1="Circle of the Crone", "Local", "Unavailable")</f>
        <v>Unavailable</v>
      </c>
      <c r="K52" s="4"/>
    </row>
    <row r="53" spans="1:12" ht="19.5" customHeight="1" thickBot="1" x14ac:dyDescent="0.3">
      <c r="A53" s="432" t="s">
        <v>1734</v>
      </c>
      <c r="B53" s="433">
        <v>5</v>
      </c>
      <c r="C53" s="433">
        <f>manipulation+occult+cruac-IF(occult=0,3,0)</f>
        <v>-2</v>
      </c>
      <c r="D53" s="433" t="s">
        <v>12</v>
      </c>
      <c r="E53" s="433" t="s">
        <v>1814</v>
      </c>
      <c r="F53" s="433" t="s">
        <v>1643</v>
      </c>
      <c r="G53" s="433">
        <v>211</v>
      </c>
      <c r="H53" s="251" t="str">
        <f>IF(covenant1="Circle of the Crone", "Local", "Unavailable")</f>
        <v>Unavailable</v>
      </c>
      <c r="K53" s="4"/>
      <c r="L53" s="4"/>
    </row>
    <row r="54" spans="1:12" ht="18.75" customHeight="1" thickBot="1" x14ac:dyDescent="0.3">
      <c r="K54" s="4"/>
      <c r="L54" s="4"/>
    </row>
    <row r="55" spans="1:12" ht="18.75" customHeight="1" thickBot="1" x14ac:dyDescent="0.3">
      <c r="A55" s="1039" t="s">
        <v>1735</v>
      </c>
      <c r="B55" s="1040"/>
      <c r="C55" s="1040"/>
      <c r="D55" s="1040"/>
      <c r="E55" s="1040"/>
      <c r="F55" s="1040"/>
      <c r="G55" s="1040"/>
      <c r="H55" s="1041"/>
      <c r="K55" s="4"/>
      <c r="L55" s="4"/>
    </row>
    <row r="56" spans="1:12" ht="18.75" customHeight="1" x14ac:dyDescent="0.25">
      <c r="A56" s="439" t="s">
        <v>1736</v>
      </c>
      <c r="B56" s="440">
        <v>1</v>
      </c>
      <c r="C56" s="440">
        <f t="shared" ref="C56:C98" si="2">intelligence+academics+theban-IF(academics=0,3,0)</f>
        <v>-2</v>
      </c>
      <c r="D56" s="440" t="s">
        <v>12</v>
      </c>
      <c r="E56" s="440" t="s">
        <v>1737</v>
      </c>
      <c r="F56" s="440" t="s">
        <v>1650</v>
      </c>
      <c r="G56" s="440">
        <v>146</v>
      </c>
      <c r="H56" s="249" t="str">
        <f>IF(covenant1="Lancea Sanctum", "Local", "Unavailable")</f>
        <v>Unavailable</v>
      </c>
      <c r="K56" s="4"/>
      <c r="L56" s="4"/>
    </row>
    <row r="57" spans="1:12" ht="18.75" customHeight="1" x14ac:dyDescent="0.25">
      <c r="A57" s="442" t="s">
        <v>1738</v>
      </c>
      <c r="B57" s="443">
        <v>1</v>
      </c>
      <c r="C57" s="443">
        <f t="shared" si="2"/>
        <v>-2</v>
      </c>
      <c r="D57" s="443" t="s">
        <v>25</v>
      </c>
      <c r="E57" s="443" t="s">
        <v>1739</v>
      </c>
      <c r="F57" s="443" t="s">
        <v>1740</v>
      </c>
      <c r="G57" s="443">
        <v>194</v>
      </c>
      <c r="H57" s="250" t="str">
        <f>IF(covenant1="Lancea Sanctum", "Local", "Unavailable")</f>
        <v>Unavailable</v>
      </c>
      <c r="K57" s="4"/>
      <c r="L57" s="4"/>
    </row>
    <row r="58" spans="1:12" ht="18.75" customHeight="1" x14ac:dyDescent="0.25">
      <c r="A58" s="442" t="s">
        <v>673</v>
      </c>
      <c r="B58" s="443">
        <v>1</v>
      </c>
      <c r="C58" s="443">
        <f t="shared" si="2"/>
        <v>-2</v>
      </c>
      <c r="D58" s="443" t="s">
        <v>319</v>
      </c>
      <c r="E58" s="443" t="s">
        <v>1741</v>
      </c>
      <c r="F58" s="443" t="s">
        <v>1740</v>
      </c>
      <c r="G58" s="443">
        <v>194</v>
      </c>
      <c r="H58" s="250" t="str">
        <f>IF(covenant1="Lancea Sanctum", "local", "Unavailable")</f>
        <v>Unavailable</v>
      </c>
      <c r="K58" s="4"/>
      <c r="L58" s="4"/>
    </row>
    <row r="59" spans="1:12" ht="18.75" customHeight="1" x14ac:dyDescent="0.25">
      <c r="A59" s="442" t="s">
        <v>1742</v>
      </c>
      <c r="B59" s="443">
        <v>1</v>
      </c>
      <c r="C59" s="443">
        <f t="shared" si="2"/>
        <v>-2</v>
      </c>
      <c r="D59" s="443" t="s">
        <v>12</v>
      </c>
      <c r="E59" s="443" t="s">
        <v>1743</v>
      </c>
      <c r="F59" s="443" t="s">
        <v>1740</v>
      </c>
      <c r="G59" s="443">
        <v>194</v>
      </c>
      <c r="H59" s="250" t="str">
        <f>IF(covenant1="Lancea Sanctum", "local", "Unavailable")</f>
        <v>Unavailable</v>
      </c>
      <c r="K59" s="4"/>
      <c r="L59" s="4"/>
    </row>
    <row r="60" spans="1:12" ht="18.75" customHeight="1" x14ac:dyDescent="0.25">
      <c r="A60" s="442" t="s">
        <v>1744</v>
      </c>
      <c r="B60" s="443">
        <v>1</v>
      </c>
      <c r="C60" s="443">
        <f t="shared" si="2"/>
        <v>-2</v>
      </c>
      <c r="D60" s="443" t="s">
        <v>12</v>
      </c>
      <c r="E60" s="443" t="s">
        <v>1745</v>
      </c>
      <c r="F60" s="443" t="s">
        <v>63</v>
      </c>
      <c r="G60" s="443">
        <v>94</v>
      </c>
      <c r="H60" s="250" t="str">
        <f>IF(covenant1="Lancea Sanctum", "Local", "Unavailable")</f>
        <v>Unavailable</v>
      </c>
      <c r="K60" s="4"/>
      <c r="L60" s="4"/>
    </row>
    <row r="61" spans="1:12" ht="18.75" customHeight="1" x14ac:dyDescent="0.25">
      <c r="A61" s="442" t="s">
        <v>1746</v>
      </c>
      <c r="B61" s="443">
        <v>1</v>
      </c>
      <c r="C61" s="443">
        <f t="shared" si="2"/>
        <v>-2</v>
      </c>
      <c r="D61" s="443" t="s">
        <v>12</v>
      </c>
      <c r="E61" s="443" t="s">
        <v>1747</v>
      </c>
      <c r="F61" s="443" t="s">
        <v>1640</v>
      </c>
      <c r="G61" s="443">
        <v>127</v>
      </c>
      <c r="H61" s="250" t="str">
        <f t="shared" ref="H61:H72" si="3">IF(covenant1="Lancea Sanctum", "Local", "Unavailable")</f>
        <v>Unavailable</v>
      </c>
      <c r="K61" s="4"/>
      <c r="L61" s="4"/>
    </row>
    <row r="62" spans="1:12" ht="18.75" customHeight="1" x14ac:dyDescent="0.25">
      <c r="A62" s="442" t="s">
        <v>1748</v>
      </c>
      <c r="B62" s="443">
        <v>1</v>
      </c>
      <c r="C62" s="443">
        <f t="shared" si="2"/>
        <v>-2</v>
      </c>
      <c r="D62" s="443" t="s">
        <v>25</v>
      </c>
      <c r="E62" s="443" t="s">
        <v>1749</v>
      </c>
      <c r="F62" s="443" t="s">
        <v>1740</v>
      </c>
      <c r="G62" s="443">
        <v>196</v>
      </c>
      <c r="H62" s="250" t="str">
        <f t="shared" ref="H62:H70" si="4">IF(covenant1="Lancea Sanctum", "Local", "Unavailable")</f>
        <v>Unavailable</v>
      </c>
      <c r="K62" s="4"/>
      <c r="L62" s="4"/>
    </row>
    <row r="63" spans="1:12" ht="18.75" customHeight="1" x14ac:dyDescent="0.25">
      <c r="A63" s="599" t="s">
        <v>2327</v>
      </c>
      <c r="B63" s="600">
        <v>1</v>
      </c>
      <c r="C63" s="600">
        <f t="shared" si="2"/>
        <v>-2</v>
      </c>
      <c r="D63" s="600" t="s">
        <v>12</v>
      </c>
      <c r="E63" s="600" t="s">
        <v>2328</v>
      </c>
      <c r="F63" s="600" t="s">
        <v>1635</v>
      </c>
      <c r="G63" s="600">
        <v>117</v>
      </c>
      <c r="H63" s="250" t="str">
        <f t="shared" si="4"/>
        <v>Unavailable</v>
      </c>
      <c r="K63" s="4"/>
      <c r="L63" s="4"/>
    </row>
    <row r="64" spans="1:12" ht="18.75" customHeight="1" x14ac:dyDescent="0.25">
      <c r="A64" s="442" t="s">
        <v>1750</v>
      </c>
      <c r="B64" s="443">
        <v>1</v>
      </c>
      <c r="C64" s="443">
        <f t="shared" si="2"/>
        <v>-2</v>
      </c>
      <c r="D64" s="443" t="s">
        <v>12</v>
      </c>
      <c r="E64" s="443" t="s">
        <v>1751</v>
      </c>
      <c r="F64" s="443" t="s">
        <v>1740</v>
      </c>
      <c r="G64" s="443">
        <v>196</v>
      </c>
      <c r="H64" s="250" t="str">
        <f t="shared" si="4"/>
        <v>Unavailable</v>
      </c>
      <c r="K64" s="4"/>
      <c r="L64" s="4"/>
    </row>
    <row r="65" spans="1:12" ht="18.75" customHeight="1" thickBot="1" x14ac:dyDescent="0.3">
      <c r="A65" s="432" t="s">
        <v>1752</v>
      </c>
      <c r="B65" s="433">
        <v>1</v>
      </c>
      <c r="C65" s="433">
        <f t="shared" si="2"/>
        <v>-2</v>
      </c>
      <c r="D65" s="433" t="s">
        <v>12</v>
      </c>
      <c r="E65" s="433" t="s">
        <v>1753</v>
      </c>
      <c r="F65" s="433" t="s">
        <v>1650</v>
      </c>
      <c r="G65" s="433">
        <v>146</v>
      </c>
      <c r="H65" s="251" t="str">
        <f t="shared" si="4"/>
        <v>Unavailable</v>
      </c>
      <c r="K65" s="4"/>
      <c r="L65" s="4"/>
    </row>
    <row r="66" spans="1:12" ht="18.75" customHeight="1" x14ac:dyDescent="0.25">
      <c r="A66" s="439" t="s">
        <v>1754</v>
      </c>
      <c r="B66" s="440">
        <v>2</v>
      </c>
      <c r="C66" s="440">
        <f t="shared" si="2"/>
        <v>-2</v>
      </c>
      <c r="D66" s="440" t="s">
        <v>25</v>
      </c>
      <c r="E66" s="440" t="s">
        <v>1755</v>
      </c>
      <c r="F66" s="440" t="s">
        <v>1740</v>
      </c>
      <c r="G66" s="440">
        <v>196</v>
      </c>
      <c r="H66" s="249" t="str">
        <f t="shared" si="4"/>
        <v>Unavailable</v>
      </c>
      <c r="K66" s="4"/>
      <c r="L66" s="4"/>
    </row>
    <row r="67" spans="1:12" ht="18.75" customHeight="1" x14ac:dyDescent="0.25">
      <c r="A67" s="442" t="s">
        <v>1756</v>
      </c>
      <c r="B67" s="443">
        <v>2</v>
      </c>
      <c r="C67" s="443">
        <f t="shared" si="2"/>
        <v>-2</v>
      </c>
      <c r="D67" s="443" t="s">
        <v>25</v>
      </c>
      <c r="E67" s="443" t="s">
        <v>1757</v>
      </c>
      <c r="F67" s="443" t="s">
        <v>1650</v>
      </c>
      <c r="G67" s="443">
        <v>146</v>
      </c>
      <c r="H67" s="250" t="str">
        <f t="shared" si="4"/>
        <v>Unavailable</v>
      </c>
      <c r="K67" s="4"/>
      <c r="L67" s="4"/>
    </row>
    <row r="68" spans="1:12" ht="18.75" customHeight="1" x14ac:dyDescent="0.25">
      <c r="A68" s="599" t="s">
        <v>2329</v>
      </c>
      <c r="B68" s="600">
        <v>2</v>
      </c>
      <c r="C68" s="600">
        <f t="shared" si="2"/>
        <v>-2</v>
      </c>
      <c r="D68" s="600"/>
      <c r="E68" s="600" t="s">
        <v>2330</v>
      </c>
      <c r="F68" s="600" t="s">
        <v>1740</v>
      </c>
      <c r="G68" s="600">
        <v>197</v>
      </c>
      <c r="H68" s="250" t="str">
        <f t="shared" si="4"/>
        <v>Unavailable</v>
      </c>
      <c r="K68" s="4"/>
      <c r="L68" s="4"/>
    </row>
    <row r="69" spans="1:12" ht="18.75" customHeight="1" x14ac:dyDescent="0.25">
      <c r="A69" s="599" t="s">
        <v>2324</v>
      </c>
      <c r="B69" s="600">
        <v>2</v>
      </c>
      <c r="C69" s="600">
        <f t="shared" si="2"/>
        <v>-2</v>
      </c>
      <c r="D69" s="600" t="s">
        <v>12</v>
      </c>
      <c r="E69" s="600" t="s">
        <v>2325</v>
      </c>
      <c r="F69" s="600" t="s">
        <v>2326</v>
      </c>
      <c r="G69" s="600">
        <v>37</v>
      </c>
      <c r="H69" s="250" t="str">
        <f t="shared" si="4"/>
        <v>Unavailable</v>
      </c>
      <c r="K69" s="4"/>
      <c r="L69" s="4"/>
    </row>
    <row r="70" spans="1:12" ht="18.75" customHeight="1" x14ac:dyDescent="0.25">
      <c r="A70" s="442" t="s">
        <v>1758</v>
      </c>
      <c r="B70" s="443">
        <v>2</v>
      </c>
      <c r="C70" s="443">
        <f t="shared" si="2"/>
        <v>-2</v>
      </c>
      <c r="D70" s="443" t="s">
        <v>37</v>
      </c>
      <c r="E70" s="443" t="s">
        <v>1759</v>
      </c>
      <c r="F70" s="443" t="s">
        <v>1650</v>
      </c>
      <c r="G70" s="443">
        <v>147</v>
      </c>
      <c r="H70" s="250" t="str">
        <f t="shared" si="4"/>
        <v>Unavailable</v>
      </c>
      <c r="K70" s="4"/>
      <c r="L70" s="4"/>
    </row>
    <row r="71" spans="1:12" ht="18.75" customHeight="1" x14ac:dyDescent="0.25">
      <c r="A71" s="442" t="s">
        <v>1760</v>
      </c>
      <c r="B71" s="443">
        <v>2</v>
      </c>
      <c r="C71" s="443">
        <f t="shared" si="2"/>
        <v>-2</v>
      </c>
      <c r="D71" s="443" t="s">
        <v>25</v>
      </c>
      <c r="E71" s="443" t="s">
        <v>1761</v>
      </c>
      <c r="F71" s="443" t="s">
        <v>1740</v>
      </c>
      <c r="G71" s="443">
        <v>197</v>
      </c>
      <c r="H71" s="250" t="str">
        <f t="shared" si="3"/>
        <v>Unavailable</v>
      </c>
      <c r="K71" s="4"/>
      <c r="L71" s="4"/>
    </row>
    <row r="72" spans="1:12" ht="18.75" customHeight="1" x14ac:dyDescent="0.25">
      <c r="A72" s="442" t="s">
        <v>1762</v>
      </c>
      <c r="B72" s="443">
        <v>2</v>
      </c>
      <c r="C72" s="443">
        <f t="shared" si="2"/>
        <v>-2</v>
      </c>
      <c r="D72" s="443" t="s">
        <v>12</v>
      </c>
      <c r="E72" s="443" t="s">
        <v>1763</v>
      </c>
      <c r="F72" s="443" t="s">
        <v>1740</v>
      </c>
      <c r="G72" s="443">
        <v>197</v>
      </c>
      <c r="H72" s="250" t="str">
        <f t="shared" si="3"/>
        <v>Unavailable</v>
      </c>
      <c r="K72" s="4"/>
      <c r="L72" s="4"/>
    </row>
    <row r="73" spans="1:12" ht="18.75" customHeight="1" x14ac:dyDescent="0.25">
      <c r="A73" s="442" t="s">
        <v>1764</v>
      </c>
      <c r="B73" s="443">
        <v>2</v>
      </c>
      <c r="C73" s="443">
        <f t="shared" si="2"/>
        <v>-2</v>
      </c>
      <c r="D73" s="443" t="s">
        <v>12</v>
      </c>
      <c r="E73" s="443" t="s">
        <v>1765</v>
      </c>
      <c r="F73" s="443" t="s">
        <v>1740</v>
      </c>
      <c r="G73" s="443">
        <v>197</v>
      </c>
      <c r="H73" s="250" t="str">
        <f>IF(covenant1="Lancea Sanctum", "local", "Unavailable")</f>
        <v>Unavailable</v>
      </c>
      <c r="K73" s="4"/>
      <c r="L73" s="4"/>
    </row>
    <row r="74" spans="1:12" ht="18.75" customHeight="1" thickBot="1" x14ac:dyDescent="0.3">
      <c r="A74" s="432" t="s">
        <v>1766</v>
      </c>
      <c r="B74" s="433">
        <v>2</v>
      </c>
      <c r="C74" s="433">
        <f t="shared" si="2"/>
        <v>-2</v>
      </c>
      <c r="D74" s="433" t="s">
        <v>12</v>
      </c>
      <c r="E74" s="433" t="s">
        <v>1767</v>
      </c>
      <c r="F74" s="433" t="s">
        <v>63</v>
      </c>
      <c r="G74" s="433">
        <v>94</v>
      </c>
      <c r="H74" s="251" t="str">
        <f t="shared" ref="H74:H80" si="5">IF(covenant1="Lancea Sanctum", "Local", "Unavailable")</f>
        <v>Unavailable</v>
      </c>
      <c r="K74" s="4"/>
      <c r="L74" s="4"/>
    </row>
    <row r="75" spans="1:12" ht="18.75" customHeight="1" x14ac:dyDescent="0.25">
      <c r="A75" s="439" t="s">
        <v>1768</v>
      </c>
      <c r="B75" s="440">
        <v>3</v>
      </c>
      <c r="C75" s="440">
        <f t="shared" si="2"/>
        <v>-2</v>
      </c>
      <c r="D75" s="440" t="s">
        <v>37</v>
      </c>
      <c r="E75" s="440" t="s">
        <v>1769</v>
      </c>
      <c r="F75" s="440" t="s">
        <v>1650</v>
      </c>
      <c r="G75" s="440">
        <v>147</v>
      </c>
      <c r="H75" s="249" t="str">
        <f t="shared" si="5"/>
        <v>Unavailable</v>
      </c>
      <c r="K75" s="4"/>
      <c r="L75" s="4"/>
    </row>
    <row r="76" spans="1:12" ht="18.75" customHeight="1" x14ac:dyDescent="0.25">
      <c r="A76" s="1046" t="s">
        <v>2320</v>
      </c>
      <c r="B76" s="1047">
        <v>3</v>
      </c>
      <c r="C76" s="600">
        <f t="shared" si="2"/>
        <v>-2</v>
      </c>
      <c r="D76" s="1047" t="s">
        <v>12</v>
      </c>
      <c r="E76" s="1047" t="s">
        <v>2321</v>
      </c>
      <c r="F76" s="1047" t="s">
        <v>1740</v>
      </c>
      <c r="G76" s="1047">
        <v>197</v>
      </c>
      <c r="H76" s="250" t="str">
        <f t="shared" si="5"/>
        <v>Unavailable</v>
      </c>
      <c r="K76" s="4"/>
      <c r="L76" s="4"/>
    </row>
    <row r="77" spans="1:12" ht="18.75" customHeight="1" x14ac:dyDescent="0.25">
      <c r="A77" s="442" t="s">
        <v>1770</v>
      </c>
      <c r="B77" s="443">
        <v>3</v>
      </c>
      <c r="C77" s="443">
        <f t="shared" si="2"/>
        <v>-2</v>
      </c>
      <c r="D77" s="443" t="s">
        <v>12</v>
      </c>
      <c r="E77" s="443" t="s">
        <v>1771</v>
      </c>
      <c r="F77" s="443" t="s">
        <v>1740</v>
      </c>
      <c r="G77" s="443">
        <v>198</v>
      </c>
      <c r="H77" s="250" t="str">
        <f t="shared" si="5"/>
        <v>Unavailable</v>
      </c>
      <c r="K77" s="4"/>
      <c r="L77" s="4"/>
    </row>
    <row r="78" spans="1:12" ht="18.75" customHeight="1" x14ac:dyDescent="0.25">
      <c r="A78" s="442" t="s">
        <v>1772</v>
      </c>
      <c r="B78" s="443">
        <v>3</v>
      </c>
      <c r="C78" s="443">
        <f t="shared" si="2"/>
        <v>-2</v>
      </c>
      <c r="D78" s="443" t="s">
        <v>12</v>
      </c>
      <c r="E78" s="443" t="s">
        <v>1773</v>
      </c>
      <c r="F78" s="443" t="s">
        <v>1740</v>
      </c>
      <c r="G78" s="443">
        <v>198</v>
      </c>
      <c r="H78" s="250" t="str">
        <f t="shared" si="5"/>
        <v>Unavailable</v>
      </c>
      <c r="K78" s="4"/>
      <c r="L78" s="4"/>
    </row>
    <row r="79" spans="1:12" ht="18.75" customHeight="1" x14ac:dyDescent="0.25">
      <c r="A79" s="442" t="s">
        <v>1774</v>
      </c>
      <c r="B79" s="443">
        <v>3</v>
      </c>
      <c r="C79" s="443">
        <f t="shared" si="2"/>
        <v>-2</v>
      </c>
      <c r="D79" s="443" t="s">
        <v>37</v>
      </c>
      <c r="E79" s="443" t="s">
        <v>1775</v>
      </c>
      <c r="F79" s="443" t="s">
        <v>1650</v>
      </c>
      <c r="G79" s="443">
        <v>147</v>
      </c>
      <c r="H79" s="250" t="str">
        <f t="shared" si="5"/>
        <v>Unavailable</v>
      </c>
      <c r="K79" s="4"/>
      <c r="L79" s="4"/>
    </row>
    <row r="80" spans="1:12" ht="18.75" customHeight="1" x14ac:dyDescent="0.25">
      <c r="A80" s="442" t="s">
        <v>1776</v>
      </c>
      <c r="B80" s="443">
        <v>3</v>
      </c>
      <c r="C80" s="443">
        <f t="shared" si="2"/>
        <v>-2</v>
      </c>
      <c r="D80" s="443" t="s">
        <v>12</v>
      </c>
      <c r="E80" s="443" t="s">
        <v>1777</v>
      </c>
      <c r="F80" s="443" t="s">
        <v>1635</v>
      </c>
      <c r="G80" s="443">
        <v>117</v>
      </c>
      <c r="H80" s="250" t="str">
        <f t="shared" si="5"/>
        <v>Unavailable</v>
      </c>
      <c r="K80" s="4"/>
      <c r="L80" s="4"/>
    </row>
    <row r="81" spans="1:12" ht="18.75" customHeight="1" x14ac:dyDescent="0.25">
      <c r="A81" s="442" t="s">
        <v>1778</v>
      </c>
      <c r="B81" s="443">
        <v>3</v>
      </c>
      <c r="C81" s="443">
        <f t="shared" si="2"/>
        <v>-2</v>
      </c>
      <c r="D81" s="443" t="s">
        <v>1779</v>
      </c>
      <c r="E81" s="443" t="s">
        <v>1780</v>
      </c>
      <c r="F81" s="443" t="s">
        <v>1740</v>
      </c>
      <c r="G81" s="443">
        <v>198</v>
      </c>
      <c r="H81" s="250" t="str">
        <f>IF(covenant1="Lancea Sanctum", "local", "Unavailable")</f>
        <v>Unavailable</v>
      </c>
      <c r="K81" s="4"/>
      <c r="L81" s="4"/>
    </row>
    <row r="82" spans="1:12" ht="18.75" customHeight="1" x14ac:dyDescent="0.25">
      <c r="A82" s="442" t="s">
        <v>1781</v>
      </c>
      <c r="B82" s="443">
        <v>3</v>
      </c>
      <c r="C82" s="443">
        <f t="shared" si="2"/>
        <v>-2</v>
      </c>
      <c r="D82" s="443" t="s">
        <v>12</v>
      </c>
      <c r="E82" s="443" t="s">
        <v>1782</v>
      </c>
      <c r="F82" s="443" t="s">
        <v>63</v>
      </c>
      <c r="G82" s="443">
        <v>94</v>
      </c>
      <c r="H82" s="250" t="str">
        <f>IF(covenant1="Lancea Sanctum", "Local", "Unavailable")</f>
        <v>Unavailable</v>
      </c>
      <c r="K82" s="4"/>
      <c r="L82" s="4"/>
    </row>
    <row r="83" spans="1:12" ht="18.75" customHeight="1" thickBot="1" x14ac:dyDescent="0.3">
      <c r="A83" s="432" t="s">
        <v>1783</v>
      </c>
      <c r="B83" s="433">
        <v>3</v>
      </c>
      <c r="C83" s="433">
        <f t="shared" si="2"/>
        <v>-2</v>
      </c>
      <c r="D83" s="433" t="s">
        <v>1660</v>
      </c>
      <c r="E83" s="433" t="s">
        <v>1784</v>
      </c>
      <c r="F83" s="433" t="s">
        <v>1740</v>
      </c>
      <c r="G83" s="433">
        <v>199</v>
      </c>
      <c r="H83" s="251" t="str">
        <f>IF(covenant1="Lancea Sanctum", "Local", "Unavailable")</f>
        <v>Unavailable</v>
      </c>
      <c r="K83" s="4"/>
      <c r="L83" s="4"/>
    </row>
    <row r="84" spans="1:12" ht="18.75" customHeight="1" x14ac:dyDescent="0.25">
      <c r="A84" s="1048" t="s">
        <v>2322</v>
      </c>
      <c r="B84" s="1049">
        <v>4</v>
      </c>
      <c r="C84" s="600">
        <f t="shared" si="2"/>
        <v>-2</v>
      </c>
      <c r="D84" s="1049" t="s">
        <v>12</v>
      </c>
      <c r="E84" s="1049" t="s">
        <v>2323</v>
      </c>
      <c r="F84" s="1049" t="s">
        <v>1740</v>
      </c>
      <c r="G84" s="1049">
        <v>200</v>
      </c>
      <c r="H84" s="250" t="str">
        <f t="shared" ref="H84:H86" si="6">IF(covenant1="Lancea Sanctum", "Local", "Unavailable")</f>
        <v>Unavailable</v>
      </c>
      <c r="K84" s="4"/>
      <c r="L84" s="4"/>
    </row>
    <row r="85" spans="1:12" ht="18.75" customHeight="1" x14ac:dyDescent="0.25">
      <c r="A85" s="599" t="s">
        <v>1785</v>
      </c>
      <c r="B85" s="600">
        <v>4</v>
      </c>
      <c r="C85" s="600">
        <f t="shared" si="2"/>
        <v>-2</v>
      </c>
      <c r="D85" s="600" t="s">
        <v>319</v>
      </c>
      <c r="E85" s="600" t="s">
        <v>1786</v>
      </c>
      <c r="F85" s="600" t="s">
        <v>1740</v>
      </c>
      <c r="G85" s="600">
        <v>200</v>
      </c>
      <c r="H85" s="250" t="str">
        <f>IF(covenant1="Lancea Sanctum", "local", "Unavailable")</f>
        <v>Unavailable</v>
      </c>
      <c r="K85" s="4"/>
      <c r="L85" s="4"/>
    </row>
    <row r="86" spans="1:12" ht="18.75" customHeight="1" x14ac:dyDescent="0.25">
      <c r="A86" s="442" t="s">
        <v>1787</v>
      </c>
      <c r="B86" s="443">
        <v>4</v>
      </c>
      <c r="C86" s="443">
        <f t="shared" si="2"/>
        <v>-2</v>
      </c>
      <c r="D86" s="443" t="s">
        <v>12</v>
      </c>
      <c r="E86" s="443" t="s">
        <v>1788</v>
      </c>
      <c r="F86" s="443" t="s">
        <v>1650</v>
      </c>
      <c r="G86" s="443">
        <v>147</v>
      </c>
      <c r="H86" s="250" t="str">
        <f t="shared" si="6"/>
        <v>Unavailable</v>
      </c>
      <c r="K86" s="4"/>
      <c r="L86" s="4"/>
    </row>
    <row r="87" spans="1:12" ht="18.75" customHeight="1" x14ac:dyDescent="0.25">
      <c r="A87" s="442" t="s">
        <v>1789</v>
      </c>
      <c r="B87" s="443">
        <v>4</v>
      </c>
      <c r="C87" s="443">
        <f t="shared" si="2"/>
        <v>-2</v>
      </c>
      <c r="D87" s="443" t="s">
        <v>12</v>
      </c>
      <c r="E87" s="443" t="s">
        <v>1790</v>
      </c>
      <c r="F87" s="443" t="s">
        <v>1740</v>
      </c>
      <c r="G87" s="443">
        <v>200</v>
      </c>
      <c r="H87" s="250" t="str">
        <f>IF(covenant1="Lancea Sanctum", "Local", "Unavailable")</f>
        <v>Unavailable</v>
      </c>
      <c r="K87" s="4"/>
      <c r="L87" s="4"/>
    </row>
    <row r="88" spans="1:12" ht="18.75" customHeight="1" x14ac:dyDescent="0.25">
      <c r="A88" s="442" t="s">
        <v>1791</v>
      </c>
      <c r="B88" s="443">
        <v>4</v>
      </c>
      <c r="C88" s="443">
        <f t="shared" si="2"/>
        <v>-2</v>
      </c>
      <c r="D88" s="443" t="s">
        <v>12</v>
      </c>
      <c r="E88" s="443" t="s">
        <v>1792</v>
      </c>
      <c r="F88" s="443" t="s">
        <v>63</v>
      </c>
      <c r="G88" s="443">
        <v>95</v>
      </c>
      <c r="H88" s="250" t="str">
        <f>IF(covenant1="Lancea Sanctum", "Local", "Unavailable")</f>
        <v>Unavailable</v>
      </c>
      <c r="K88" s="4"/>
      <c r="L88" s="4"/>
    </row>
    <row r="89" spans="1:12" ht="18.75" customHeight="1" x14ac:dyDescent="0.25">
      <c r="A89" s="442" t="s">
        <v>1793</v>
      </c>
      <c r="B89" s="443">
        <v>4</v>
      </c>
      <c r="C89" s="443">
        <f t="shared" si="2"/>
        <v>-2</v>
      </c>
      <c r="D89" s="443" t="s">
        <v>12</v>
      </c>
      <c r="E89" s="443" t="s">
        <v>1794</v>
      </c>
      <c r="F89" s="443" t="s">
        <v>1740</v>
      </c>
      <c r="G89" s="443">
        <v>201</v>
      </c>
      <c r="H89" s="250" t="str">
        <f>IF(covenant1="Lancea Sanctum", "Local", "Unavailable")</f>
        <v>Unavailable</v>
      </c>
      <c r="K89" s="4"/>
      <c r="L89" s="4"/>
    </row>
    <row r="90" spans="1:12" ht="18.75" customHeight="1" x14ac:dyDescent="0.25">
      <c r="A90" s="442" t="s">
        <v>1795</v>
      </c>
      <c r="B90" s="443">
        <v>4</v>
      </c>
      <c r="C90" s="443">
        <f t="shared" si="2"/>
        <v>-2</v>
      </c>
      <c r="D90" s="443" t="s">
        <v>319</v>
      </c>
      <c r="E90" s="443" t="s">
        <v>1796</v>
      </c>
      <c r="F90" s="443" t="s">
        <v>1740</v>
      </c>
      <c r="G90" s="443">
        <v>201</v>
      </c>
      <c r="H90" s="250" t="str">
        <f>IF(covenant1="Lancea Sanctum", "local", "Unavailable")</f>
        <v>Unavailable</v>
      </c>
      <c r="K90" s="4"/>
      <c r="L90" s="4"/>
    </row>
    <row r="91" spans="1:12" ht="18.75" customHeight="1" thickBot="1" x14ac:dyDescent="0.3">
      <c r="A91" s="432" t="s">
        <v>1797</v>
      </c>
      <c r="B91" s="433">
        <v>4</v>
      </c>
      <c r="C91" s="433">
        <f t="shared" si="2"/>
        <v>-2</v>
      </c>
      <c r="D91" s="433" t="s">
        <v>319</v>
      </c>
      <c r="E91" s="433" t="s">
        <v>1798</v>
      </c>
      <c r="F91" s="433" t="s">
        <v>1650</v>
      </c>
      <c r="G91" s="433">
        <v>147</v>
      </c>
      <c r="H91" s="251" t="str">
        <f>IF(covenant1="Lancea Sanctum", "local", "Unavailable")</f>
        <v>Unavailable</v>
      </c>
      <c r="K91" s="4"/>
      <c r="L91" s="4"/>
    </row>
    <row r="92" spans="1:12" ht="18.75" customHeight="1" x14ac:dyDescent="0.25">
      <c r="A92" s="439" t="s">
        <v>1799</v>
      </c>
      <c r="B92" s="440">
        <v>5</v>
      </c>
      <c r="C92" s="440">
        <f t="shared" si="2"/>
        <v>-2</v>
      </c>
      <c r="D92" s="440" t="s">
        <v>12</v>
      </c>
      <c r="E92" s="440" t="s">
        <v>1800</v>
      </c>
      <c r="F92" s="440" t="s">
        <v>1740</v>
      </c>
      <c r="G92" s="440">
        <v>201</v>
      </c>
      <c r="H92" s="249" t="str">
        <f>IF(covenant1="Lancea Sanctum", "local", "Unavailable")</f>
        <v>Unavailable</v>
      </c>
      <c r="K92" s="4"/>
      <c r="L92" s="4"/>
    </row>
    <row r="93" spans="1:12" ht="18.75" customHeight="1" x14ac:dyDescent="0.25">
      <c r="A93" s="442" t="s">
        <v>1801</v>
      </c>
      <c r="B93" s="443">
        <v>5</v>
      </c>
      <c r="C93" s="443">
        <f t="shared" si="2"/>
        <v>-2</v>
      </c>
      <c r="D93" s="443" t="s">
        <v>1802</v>
      </c>
      <c r="E93" s="443" t="s">
        <v>1803</v>
      </c>
      <c r="F93" s="443" t="s">
        <v>1740</v>
      </c>
      <c r="G93" s="443">
        <v>202</v>
      </c>
      <c r="H93" s="250" t="str">
        <f t="shared" ref="H93:H94" si="7">IF(covenant1="Lancea Sanctum", "Local", "Unavailable")</f>
        <v>Unavailable</v>
      </c>
      <c r="K93" s="4"/>
      <c r="L93" s="4"/>
    </row>
    <row r="94" spans="1:12" ht="18.75" customHeight="1" x14ac:dyDescent="0.25">
      <c r="A94" s="442" t="s">
        <v>1816</v>
      </c>
      <c r="B94" s="443">
        <v>5</v>
      </c>
      <c r="C94" s="443">
        <f t="shared" si="2"/>
        <v>-2</v>
      </c>
      <c r="D94" s="443" t="s">
        <v>1817</v>
      </c>
      <c r="E94" s="443" t="s">
        <v>1804</v>
      </c>
      <c r="F94" s="443" t="s">
        <v>1740</v>
      </c>
      <c r="G94" s="443">
        <v>203</v>
      </c>
      <c r="H94" s="250" t="str">
        <f t="shared" si="7"/>
        <v>Unavailable</v>
      </c>
      <c r="K94" s="4"/>
    </row>
    <row r="95" spans="1:12" ht="18.75" customHeight="1" x14ac:dyDescent="0.25">
      <c r="A95" s="442" t="s">
        <v>1805</v>
      </c>
      <c r="B95" s="443">
        <v>5</v>
      </c>
      <c r="C95" s="443">
        <f t="shared" si="2"/>
        <v>-2</v>
      </c>
      <c r="D95" s="443" t="s">
        <v>25</v>
      </c>
      <c r="E95" s="443" t="s">
        <v>1806</v>
      </c>
      <c r="F95" s="443" t="s">
        <v>1740</v>
      </c>
      <c r="G95" s="443">
        <v>204</v>
      </c>
      <c r="H95" s="250" t="str">
        <f>IF(covenant1="Lancea Sanctum", "local", "Unavailable")</f>
        <v>Unavailable</v>
      </c>
      <c r="K95" s="4"/>
    </row>
    <row r="96" spans="1:12" ht="18.75" customHeight="1" x14ac:dyDescent="0.25">
      <c r="A96" s="442" t="s">
        <v>1807</v>
      </c>
      <c r="B96" s="443">
        <v>5</v>
      </c>
      <c r="C96" s="443">
        <f t="shared" si="2"/>
        <v>-2</v>
      </c>
      <c r="D96" s="443" t="s">
        <v>12</v>
      </c>
      <c r="E96" s="443" t="s">
        <v>1808</v>
      </c>
      <c r="F96" s="443" t="s">
        <v>1740</v>
      </c>
      <c r="G96" s="443">
        <v>204</v>
      </c>
      <c r="H96" s="250" t="str">
        <f>IF(covenant1="Lancea Sanctum", "Local", "Unavailable")</f>
        <v>Unavailable</v>
      </c>
    </row>
    <row r="97" spans="1:8" ht="18.75" customHeight="1" x14ac:dyDescent="0.25">
      <c r="A97" s="442" t="s">
        <v>1809</v>
      </c>
      <c r="B97" s="443">
        <v>5</v>
      </c>
      <c r="C97" s="443">
        <f t="shared" si="2"/>
        <v>-2</v>
      </c>
      <c r="D97" s="443" t="s">
        <v>1810</v>
      </c>
      <c r="E97" s="443" t="s">
        <v>1811</v>
      </c>
      <c r="F97" s="443" t="s">
        <v>1650</v>
      </c>
      <c r="G97" s="443">
        <v>148</v>
      </c>
      <c r="H97" s="250" t="str">
        <f>IF(covenant1="Lancea Sanctum", "local", "Unavailable")</f>
        <v>Unavailable</v>
      </c>
    </row>
    <row r="98" spans="1:8" ht="18.75" customHeight="1" thickBot="1" x14ac:dyDescent="0.3">
      <c r="A98" s="432" t="s">
        <v>1812</v>
      </c>
      <c r="B98" s="433">
        <v>5</v>
      </c>
      <c r="C98" s="433">
        <f t="shared" si="2"/>
        <v>-2</v>
      </c>
      <c r="D98" s="433" t="s">
        <v>319</v>
      </c>
      <c r="E98" s="433" t="s">
        <v>1813</v>
      </c>
      <c r="F98" s="433" t="s">
        <v>1650</v>
      </c>
      <c r="G98" s="433">
        <v>148</v>
      </c>
      <c r="H98" s="251" t="str">
        <f>IF(covenant1="Lancea Sanctum", "Local", "Unavailable")</f>
        <v>Unavailable</v>
      </c>
    </row>
    <row r="99" spans="1:8" ht="18.75" customHeight="1" x14ac:dyDescent="0.25"/>
    <row r="100" spans="1:8" ht="18.75" customHeight="1" x14ac:dyDescent="0.25"/>
    <row r="101" spans="1:8" ht="18.75" customHeight="1" x14ac:dyDescent="0.25"/>
    <row r="102" spans="1:8" ht="18.75" customHeight="1" x14ac:dyDescent="0.25"/>
    <row r="103" spans="1:8" ht="18.75" customHeight="1" x14ac:dyDescent="0.25"/>
    <row r="104" spans="1:8" ht="18.75" customHeight="1" x14ac:dyDescent="0.25"/>
    <row r="105" spans="1:8" ht="18.75" customHeight="1" x14ac:dyDescent="0.25"/>
    <row r="106" spans="1:8" ht="18.75" customHeight="1" x14ac:dyDescent="0.25"/>
    <row r="107" spans="1:8" ht="18.75" customHeight="1" x14ac:dyDescent="0.25"/>
    <row r="108" spans="1:8" ht="18.75" customHeight="1" x14ac:dyDescent="0.25"/>
    <row r="109" spans="1:8" ht="18.75" customHeight="1" x14ac:dyDescent="0.25"/>
    <row r="110" spans="1:8" ht="18.75" customHeight="1" x14ac:dyDescent="0.25"/>
    <row r="111" spans="1:8" ht="18.75" customHeight="1" x14ac:dyDescent="0.25"/>
    <row r="112" spans="1:8" ht="18.75" customHeight="1" x14ac:dyDescent="0.25"/>
    <row r="113" ht="18.75" customHeight="1" x14ac:dyDescent="0.25"/>
    <row r="114" ht="18.75" customHeight="1" x14ac:dyDescent="0.25"/>
    <row r="115" ht="18.75" customHeight="1" x14ac:dyDescent="0.25"/>
    <row r="116" ht="18.75" customHeight="1" x14ac:dyDescent="0.25"/>
    <row r="117" ht="18.75" customHeight="1" x14ac:dyDescent="0.25"/>
    <row r="118" ht="18.75" customHeight="1" x14ac:dyDescent="0.25"/>
    <row r="119" ht="18.75" customHeight="1" x14ac:dyDescent="0.25"/>
    <row r="120" ht="18.75" customHeight="1" x14ac:dyDescent="0.25"/>
    <row r="121" ht="18.75" customHeight="1" x14ac:dyDescent="0.25"/>
    <row r="122" ht="18.75" customHeight="1" x14ac:dyDescent="0.25"/>
    <row r="123" ht="18.75" customHeight="1" x14ac:dyDescent="0.25"/>
    <row r="124" ht="18.75" customHeight="1" x14ac:dyDescent="0.25"/>
    <row r="125" ht="18.75" customHeight="1" x14ac:dyDescent="0.25"/>
    <row r="126" ht="18.75" customHeight="1" x14ac:dyDescent="0.25"/>
  </sheetData>
  <sheetProtection password="8719" sheet="1" objects="1" scenarios="1" formatCells="0" formatRows="0" insertColumns="0" insertRows="0"/>
  <sortState ref="A13:H22">
    <sortCondition ref="A13:A22"/>
  </sortState>
  <mergeCells count="2">
    <mergeCell ref="A2:H2"/>
    <mergeCell ref="A55:H55"/>
  </mergeCells>
  <pageMargins left="0.7" right="0.7" top="0.75" bottom="0.75" header="0.3" footer="0.3"/>
  <pageSetup paperSize="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2.1.2.49735</Revision>
</Application>
</file>

<file path=customXml/itemProps1.xml><?xml version="1.0" encoding="utf-8"?>
<ds:datastoreItem xmlns:ds="http://schemas.openxmlformats.org/officeDocument/2006/customXml" ds:itemID="{79AA9AFE-2E63-4C8E-9B65-899DC339618F}">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164</vt:i4>
      </vt:variant>
    </vt:vector>
  </HeadingPairs>
  <TitlesOfParts>
    <vt:vector size="174" baseType="lpstr">
      <vt:lpstr>Information</vt:lpstr>
      <vt:lpstr>Character Sheet</vt:lpstr>
      <vt:lpstr>XP log</vt:lpstr>
      <vt:lpstr>Copy &amp; Paste</vt:lpstr>
      <vt:lpstr>Appx A Feeding</vt:lpstr>
      <vt:lpstr>Appx B Disciplines</vt:lpstr>
      <vt:lpstr>Appx C Devotions</vt:lpstr>
      <vt:lpstr>Appx D Rituals</vt:lpstr>
      <vt:lpstr>Appx E Coils</vt:lpstr>
      <vt:lpstr>Appx F Oaths</vt:lpstr>
      <vt:lpstr>academics</vt:lpstr>
      <vt:lpstr>acaspec</vt:lpstr>
      <vt:lpstr>age</vt:lpstr>
      <vt:lpstr>Agename</vt:lpstr>
      <vt:lpstr>animalism</vt:lpstr>
      <vt:lpstr>animalken</vt:lpstr>
      <vt:lpstr>animspec</vt:lpstr>
      <vt:lpstr>armour</vt:lpstr>
      <vt:lpstr>armourgun</vt:lpstr>
      <vt:lpstr>athletics</vt:lpstr>
      <vt:lpstr>athspec</vt:lpstr>
      <vt:lpstr>attpriority</vt:lpstr>
      <vt:lpstr>attributelist</vt:lpstr>
      <vt:lpstr>auspex</vt:lpstr>
      <vt:lpstr>BloodDis</vt:lpstr>
      <vt:lpstr>blooddiscipline</vt:lpstr>
      <vt:lpstr>bloodline</vt:lpstr>
      <vt:lpstr>BloodlineChart</vt:lpstr>
      <vt:lpstr>bloodlinelist</vt:lpstr>
      <vt:lpstr>bloodlinespecialization</vt:lpstr>
      <vt:lpstr>BP</vt:lpstr>
      <vt:lpstr>bpchart</vt:lpstr>
      <vt:lpstr>brawl</vt:lpstr>
      <vt:lpstr>brawlspec</vt:lpstr>
      <vt:lpstr>breath</vt:lpstr>
      <vt:lpstr>categoryname</vt:lpstr>
      <vt:lpstr>celerity</vt:lpstr>
      <vt:lpstr>cemail</vt:lpstr>
      <vt:lpstr>chardomain</vt:lpstr>
      <vt:lpstr>charname</vt:lpstr>
      <vt:lpstr>clan1</vt:lpstr>
      <vt:lpstr>clanlist</vt:lpstr>
      <vt:lpstr>clanspecialization</vt:lpstr>
      <vt:lpstr>ClanTable</vt:lpstr>
      <vt:lpstr>coilcost</vt:lpstr>
      <vt:lpstr>coils</vt:lpstr>
      <vt:lpstr>composure</vt:lpstr>
      <vt:lpstr>compspec</vt:lpstr>
      <vt:lpstr>computer</vt:lpstr>
      <vt:lpstr>concept</vt:lpstr>
      <vt:lpstr>coordinatorname</vt:lpstr>
      <vt:lpstr>covenant1</vt:lpstr>
      <vt:lpstr>covenantlist</vt:lpstr>
      <vt:lpstr>craft</vt:lpstr>
      <vt:lpstr>craftspec</vt:lpstr>
      <vt:lpstr>cruac</vt:lpstr>
      <vt:lpstr>cruacchart</vt:lpstr>
      <vt:lpstr>cruaclist</vt:lpstr>
      <vt:lpstr>curvitae</vt:lpstr>
      <vt:lpstr>defenseadj</vt:lpstr>
      <vt:lpstr>derangements</vt:lpstr>
      <vt:lpstr>DevotionChart</vt:lpstr>
      <vt:lpstr>DevotionList</vt:lpstr>
      <vt:lpstr>dexterity</vt:lpstr>
      <vt:lpstr>Dire</vt:lpstr>
      <vt:lpstr>DisciplineBasic</vt:lpstr>
      <vt:lpstr>Disciplinechart</vt:lpstr>
      <vt:lpstr>dominate</vt:lpstr>
      <vt:lpstr>dotchart</vt:lpstr>
      <vt:lpstr>drispec</vt:lpstr>
      <vt:lpstr>drive</vt:lpstr>
      <vt:lpstr>dualcov</vt:lpstr>
      <vt:lpstr>DualCovStatus</vt:lpstr>
      <vt:lpstr>emailaddress</vt:lpstr>
      <vt:lpstr>empathy</vt:lpstr>
      <vt:lpstr>empspec</vt:lpstr>
      <vt:lpstr>exprespec</vt:lpstr>
      <vt:lpstr>expression</vt:lpstr>
      <vt:lpstr>farmer</vt:lpstr>
      <vt:lpstr>FATable</vt:lpstr>
      <vt:lpstr>favouredclan</vt:lpstr>
      <vt:lpstr>firearms</vt:lpstr>
      <vt:lpstr>firespec</vt:lpstr>
      <vt:lpstr>flaw</vt:lpstr>
      <vt:lpstr>flawlist</vt:lpstr>
      <vt:lpstr>health</vt:lpstr>
      <vt:lpstr>herd</vt:lpstr>
      <vt:lpstr>humanitmulty</vt:lpstr>
      <vt:lpstr>humanity</vt:lpstr>
      <vt:lpstr>humanitylist</vt:lpstr>
      <vt:lpstr>initiativeadj</vt:lpstr>
      <vt:lpstr>intelligence</vt:lpstr>
      <vt:lpstr>intimidation</vt:lpstr>
      <vt:lpstr>intimspec</vt:lpstr>
      <vt:lpstr>intruder</vt:lpstr>
      <vt:lpstr>investigation</vt:lpstr>
      <vt:lpstr>invspec</vt:lpstr>
      <vt:lpstr>larceny</vt:lpstr>
      <vt:lpstr>larcspec</vt:lpstr>
      <vt:lpstr>lurker</vt:lpstr>
      <vt:lpstr>majesty</vt:lpstr>
      <vt:lpstr>manipulation</vt:lpstr>
      <vt:lpstr>medicine</vt:lpstr>
      <vt:lpstr>medspec</vt:lpstr>
      <vt:lpstr>membernumber</vt:lpstr>
      <vt:lpstr>MeritList</vt:lpstr>
      <vt:lpstr>MeritTable</vt:lpstr>
      <vt:lpstr>mult_chart</vt:lpstr>
      <vt:lpstr>mult_chart2</vt:lpstr>
      <vt:lpstr>nightmare</vt:lpstr>
      <vt:lpstr>OathChart</vt:lpstr>
      <vt:lpstr>OathDir</vt:lpstr>
      <vt:lpstr>OathList</vt:lpstr>
      <vt:lpstr>obfuscate</vt:lpstr>
      <vt:lpstr>occspec</vt:lpstr>
      <vt:lpstr>occult</vt:lpstr>
      <vt:lpstr>OddDiscName</vt:lpstr>
      <vt:lpstr>Order</vt:lpstr>
      <vt:lpstr>persspec</vt:lpstr>
      <vt:lpstr>persuasion</vt:lpstr>
      <vt:lpstr>playername</vt:lpstr>
      <vt:lpstr>politics</vt:lpstr>
      <vt:lpstr>polspec</vt:lpstr>
      <vt:lpstr>presence</vt:lpstr>
      <vt:lpstr>'Character Sheet'!Print_Area</vt:lpstr>
      <vt:lpstr>priorsec</vt:lpstr>
      <vt:lpstr>protean</vt:lpstr>
      <vt:lpstr>resilience</vt:lpstr>
      <vt:lpstr>resolve</vt:lpstr>
      <vt:lpstr>RitualMod</vt:lpstr>
      <vt:lpstr>science</vt:lpstr>
      <vt:lpstr>scispec</vt:lpstr>
      <vt:lpstr>seducer</vt:lpstr>
      <vt:lpstr>Size</vt:lpstr>
      <vt:lpstr>skillpriority</vt:lpstr>
      <vt:lpstr>socialize</vt:lpstr>
      <vt:lpstr>socspec</vt:lpstr>
      <vt:lpstr>speedadj</vt:lpstr>
      <vt:lpstr>spoiling</vt:lpstr>
      <vt:lpstr>stalker</vt:lpstr>
      <vt:lpstr>stamina</vt:lpstr>
      <vt:lpstr>startingvitae</vt:lpstr>
      <vt:lpstr>stealth</vt:lpstr>
      <vt:lpstr>stealthspec</vt:lpstr>
      <vt:lpstr>stemail</vt:lpstr>
      <vt:lpstr>stname</vt:lpstr>
      <vt:lpstr>streetspec</vt:lpstr>
      <vt:lpstr>streetwise</vt:lpstr>
      <vt:lpstr>strength</vt:lpstr>
      <vt:lpstr>subterfuge</vt:lpstr>
      <vt:lpstr>subtspec</vt:lpstr>
      <vt:lpstr>survival</vt:lpstr>
      <vt:lpstr>survspec</vt:lpstr>
      <vt:lpstr>sustainedhuntinglist</vt:lpstr>
      <vt:lpstr>sustainedtable</vt:lpstr>
      <vt:lpstr>theban</vt:lpstr>
      <vt:lpstr>thebanchart</vt:lpstr>
      <vt:lpstr>thebanlist</vt:lpstr>
      <vt:lpstr>ThebanSorcery</vt:lpstr>
      <vt:lpstr>title</vt:lpstr>
      <vt:lpstr>totalcoils</vt:lpstr>
      <vt:lpstr>totalxpearned</vt:lpstr>
      <vt:lpstr>totalxpremaining</vt:lpstr>
      <vt:lpstr>Type</vt:lpstr>
      <vt:lpstr>Vicelist</vt:lpstr>
      <vt:lpstr>vicename</vt:lpstr>
      <vt:lpstr>vigor</vt:lpstr>
      <vt:lpstr>Virtuelist</vt:lpstr>
      <vt:lpstr>virtuename</vt:lpstr>
      <vt:lpstr>weaponry</vt:lpstr>
      <vt:lpstr>weapspec</vt:lpstr>
      <vt:lpstr>willpower</vt:lpstr>
      <vt:lpstr>wits</vt:lpstr>
      <vt:lpstr>yesno</vt:lpstr>
    </vt:vector>
  </TitlesOfParts>
  <Company>Experian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Lambourn, Nicholas</dc:creator>
  <cp:lastModifiedBy>Nicholas Lambourn</cp:lastModifiedBy>
  <cp:lastPrinted>2016-07-16T22:31:15Z</cp:lastPrinted>
  <dcterms:created xsi:type="dcterms:W3CDTF">2016-04-11T12:26:07Z</dcterms:created>
  <dcterms:modified xsi:type="dcterms:W3CDTF">2018-02-26T16:08:39Z</dcterms:modified>
</cp:coreProperties>
</file>